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6380" windowHeight="8010" tabRatio="5"/>
  </bookViews>
  <sheets>
    <sheet name="TDSheet" sheetId="1" r:id="rId1"/>
  </sheets>
  <definedNames>
    <definedName name="_xlnm.Print_Area" localSheetId="0">TDSheet!$A$3:$T$339</definedName>
  </definedNames>
  <calcPr calcId="124519"/>
</workbook>
</file>

<file path=xl/calcChain.xml><?xml version="1.0" encoding="utf-8"?>
<calcChain xmlns="http://schemas.openxmlformats.org/spreadsheetml/2006/main">
  <c r="D27" i="1"/>
  <c r="T312"/>
  <c r="S312"/>
  <c r="R312"/>
  <c r="P312"/>
  <c r="P316" s="1"/>
  <c r="O312"/>
  <c r="M312"/>
  <c r="L312"/>
  <c r="L316" s="1"/>
  <c r="K312"/>
  <c r="J312"/>
  <c r="H312"/>
  <c r="G312"/>
  <c r="F312"/>
  <c r="I312" s="1"/>
  <c r="I316" s="1"/>
  <c r="E151"/>
  <c r="D326"/>
  <c r="D292"/>
  <c r="D282"/>
  <c r="D258"/>
  <c r="D248"/>
  <c r="D226"/>
  <c r="D193"/>
  <c r="D161"/>
  <c r="D127"/>
  <c r="D94"/>
  <c r="D85"/>
  <c r="D62"/>
  <c r="E316"/>
  <c r="G316"/>
  <c r="H316"/>
  <c r="H317" s="1"/>
  <c r="J316"/>
  <c r="J317"/>
  <c r="K316"/>
  <c r="K317" s="1"/>
  <c r="M316"/>
  <c r="M317" s="1"/>
  <c r="N316"/>
  <c r="N317" s="1"/>
  <c r="O316"/>
  <c r="Q316"/>
  <c r="Q317"/>
  <c r="R316"/>
  <c r="R317"/>
  <c r="S316"/>
  <c r="T316"/>
  <c r="T317"/>
  <c r="G317"/>
  <c r="O317"/>
  <c r="S317"/>
  <c r="E117"/>
  <c r="I262"/>
  <c r="I197"/>
  <c r="I115"/>
  <c r="I216"/>
  <c r="I217"/>
  <c r="I98"/>
  <c r="E16"/>
  <c r="T47"/>
  <c r="T51"/>
  <c r="T52"/>
  <c r="S47"/>
  <c r="S51" s="1"/>
  <c r="R47"/>
  <c r="P47"/>
  <c r="P51"/>
  <c r="O47"/>
  <c r="M47"/>
  <c r="M51"/>
  <c r="M52"/>
  <c r="L47"/>
  <c r="L51"/>
  <c r="L52"/>
  <c r="K47"/>
  <c r="K51" s="1"/>
  <c r="J47"/>
  <c r="J51"/>
  <c r="H47"/>
  <c r="H51"/>
  <c r="H52"/>
  <c r="G47"/>
  <c r="G51" s="1"/>
  <c r="F47"/>
  <c r="F51"/>
  <c r="F52" s="1"/>
  <c r="D298"/>
  <c r="F16"/>
  <c r="F17"/>
  <c r="G16"/>
  <c r="H16"/>
  <c r="I16"/>
  <c r="J16"/>
  <c r="K16"/>
  <c r="L16"/>
  <c r="M16"/>
  <c r="N16"/>
  <c r="N17" s="1"/>
  <c r="O16"/>
  <c r="O17"/>
  <c r="P16"/>
  <c r="Q16"/>
  <c r="R16"/>
  <c r="S16"/>
  <c r="T16"/>
  <c r="G17"/>
  <c r="H17"/>
  <c r="I17"/>
  <c r="J17"/>
  <c r="K17"/>
  <c r="L17"/>
  <c r="M17"/>
  <c r="P17"/>
  <c r="Q17"/>
  <c r="R17"/>
  <c r="S17"/>
  <c r="T17"/>
  <c r="F25"/>
  <c r="F27"/>
  <c r="F28"/>
  <c r="G25"/>
  <c r="H25"/>
  <c r="H27"/>
  <c r="J25"/>
  <c r="J27"/>
  <c r="K25"/>
  <c r="K27"/>
  <c r="K28"/>
  <c r="N25"/>
  <c r="N27" s="1"/>
  <c r="O25"/>
  <c r="O27"/>
  <c r="O28" s="1"/>
  <c r="P25"/>
  <c r="P27"/>
  <c r="P28"/>
  <c r="Q25"/>
  <c r="Q27"/>
  <c r="Q28"/>
  <c r="R25"/>
  <c r="R27" s="1"/>
  <c r="S25"/>
  <c r="S27"/>
  <c r="S28" s="1"/>
  <c r="T25"/>
  <c r="T27"/>
  <c r="T28"/>
  <c r="E27"/>
  <c r="L27"/>
  <c r="L28"/>
  <c r="M27"/>
  <c r="M28" s="1"/>
  <c r="F31"/>
  <c r="G31"/>
  <c r="G33"/>
  <c r="G34" s="1"/>
  <c r="H31"/>
  <c r="H33"/>
  <c r="H34"/>
  <c r="J31"/>
  <c r="J33"/>
  <c r="K31"/>
  <c r="K33"/>
  <c r="K34" s="1"/>
  <c r="L31"/>
  <c r="L33"/>
  <c r="M31"/>
  <c r="M33" s="1"/>
  <c r="N31"/>
  <c r="N33"/>
  <c r="N34"/>
  <c r="O31"/>
  <c r="O33"/>
  <c r="P31"/>
  <c r="P33"/>
  <c r="P34" s="1"/>
  <c r="Q31"/>
  <c r="Q33"/>
  <c r="Q34"/>
  <c r="R31"/>
  <c r="R33"/>
  <c r="R34"/>
  <c r="S31"/>
  <c r="S33" s="1"/>
  <c r="T31"/>
  <c r="T33"/>
  <c r="D33"/>
  <c r="E33"/>
  <c r="E51"/>
  <c r="N51"/>
  <c r="N52" s="1"/>
  <c r="O51"/>
  <c r="Q51"/>
  <c r="Q52"/>
  <c r="R51"/>
  <c r="R52"/>
  <c r="J52"/>
  <c r="F55"/>
  <c r="G55"/>
  <c r="H55"/>
  <c r="J55"/>
  <c r="J62" s="1"/>
  <c r="K55"/>
  <c r="L55"/>
  <c r="M55"/>
  <c r="M62"/>
  <c r="M63"/>
  <c r="N55"/>
  <c r="O55"/>
  <c r="P55"/>
  <c r="Q55"/>
  <c r="R55"/>
  <c r="S55"/>
  <c r="T55"/>
  <c r="T62" s="1"/>
  <c r="F60"/>
  <c r="G60"/>
  <c r="G62"/>
  <c r="H60"/>
  <c r="J60"/>
  <c r="K60"/>
  <c r="N60"/>
  <c r="N62" s="1"/>
  <c r="O60"/>
  <c r="P60"/>
  <c r="P62"/>
  <c r="P63" s="1"/>
  <c r="Q60"/>
  <c r="R60"/>
  <c r="R62"/>
  <c r="S60"/>
  <c r="S62"/>
  <c r="S63"/>
  <c r="T60"/>
  <c r="E62"/>
  <c r="L62"/>
  <c r="L63"/>
  <c r="I65"/>
  <c r="I66"/>
  <c r="D67"/>
  <c r="E67"/>
  <c r="F67"/>
  <c r="F68"/>
  <c r="G67"/>
  <c r="G68"/>
  <c r="H67"/>
  <c r="H68"/>
  <c r="J67"/>
  <c r="J68"/>
  <c r="K67"/>
  <c r="K68"/>
  <c r="L67"/>
  <c r="M67"/>
  <c r="M68" s="1"/>
  <c r="N67"/>
  <c r="N68"/>
  <c r="O67"/>
  <c r="O68" s="1"/>
  <c r="P67"/>
  <c r="P68"/>
  <c r="Q67"/>
  <c r="Q68" s="1"/>
  <c r="R67"/>
  <c r="R68"/>
  <c r="S67"/>
  <c r="S68" s="1"/>
  <c r="T67"/>
  <c r="T68"/>
  <c r="I85"/>
  <c r="I86" s="1"/>
  <c r="E85"/>
  <c r="F85"/>
  <c r="G85"/>
  <c r="G86" s="1"/>
  <c r="H85"/>
  <c r="J85"/>
  <c r="J86"/>
  <c r="K85"/>
  <c r="K86"/>
  <c r="L85"/>
  <c r="L86"/>
  <c r="M85"/>
  <c r="N85"/>
  <c r="N86"/>
  <c r="O85"/>
  <c r="O86" s="1"/>
  <c r="P85"/>
  <c r="P86"/>
  <c r="Q85"/>
  <c r="R85"/>
  <c r="R86"/>
  <c r="S85"/>
  <c r="S86"/>
  <c r="T85"/>
  <c r="T86"/>
  <c r="M86"/>
  <c r="Q86"/>
  <c r="F92"/>
  <c r="F94"/>
  <c r="F95"/>
  <c r="G92"/>
  <c r="G94" s="1"/>
  <c r="H92"/>
  <c r="H94"/>
  <c r="H95"/>
  <c r="J92"/>
  <c r="J94"/>
  <c r="J95"/>
  <c r="K92"/>
  <c r="K94" s="1"/>
  <c r="N92"/>
  <c r="N94"/>
  <c r="O92"/>
  <c r="O94" s="1"/>
  <c r="P92"/>
  <c r="P94"/>
  <c r="Q92"/>
  <c r="Q94"/>
  <c r="Q95"/>
  <c r="R92"/>
  <c r="R94" s="1"/>
  <c r="S92"/>
  <c r="S94"/>
  <c r="S95"/>
  <c r="T92"/>
  <c r="T94"/>
  <c r="E94"/>
  <c r="L94"/>
  <c r="M94"/>
  <c r="M95"/>
  <c r="L95"/>
  <c r="I97"/>
  <c r="D99"/>
  <c r="E99"/>
  <c r="F99"/>
  <c r="F100" s="1"/>
  <c r="G99"/>
  <c r="G100"/>
  <c r="H99"/>
  <c r="H100" s="1"/>
  <c r="J99"/>
  <c r="K99"/>
  <c r="K100" s="1"/>
  <c r="L99"/>
  <c r="L100" s="1"/>
  <c r="M99"/>
  <c r="M100"/>
  <c r="N99"/>
  <c r="N100" s="1"/>
  <c r="O99"/>
  <c r="O100"/>
  <c r="P99"/>
  <c r="P100" s="1"/>
  <c r="Q99"/>
  <c r="Q100"/>
  <c r="R99"/>
  <c r="R100" s="1"/>
  <c r="S99"/>
  <c r="S100"/>
  <c r="T99"/>
  <c r="T100" s="1"/>
  <c r="F116"/>
  <c r="F117"/>
  <c r="F118" s="1"/>
  <c r="G116"/>
  <c r="G117"/>
  <c r="H116"/>
  <c r="H117" s="1"/>
  <c r="J116"/>
  <c r="J117"/>
  <c r="K116"/>
  <c r="K117"/>
  <c r="L116"/>
  <c r="L117"/>
  <c r="L118" s="1"/>
  <c r="N116"/>
  <c r="N117"/>
  <c r="N118"/>
  <c r="O116"/>
  <c r="P116"/>
  <c r="P117"/>
  <c r="P118"/>
  <c r="Q116"/>
  <c r="Q117"/>
  <c r="R116"/>
  <c r="R117"/>
  <c r="R118" s="1"/>
  <c r="T116"/>
  <c r="T117"/>
  <c r="M117"/>
  <c r="O117"/>
  <c r="O118"/>
  <c r="S117"/>
  <c r="S118"/>
  <c r="F125"/>
  <c r="F127"/>
  <c r="G125"/>
  <c r="G127"/>
  <c r="G128" s="1"/>
  <c r="H125"/>
  <c r="J125"/>
  <c r="J127"/>
  <c r="J128" s="1"/>
  <c r="K125"/>
  <c r="K127"/>
  <c r="K128"/>
  <c r="N125"/>
  <c r="N127"/>
  <c r="O125"/>
  <c r="O127" s="1"/>
  <c r="P125"/>
  <c r="P127" s="1"/>
  <c r="Q125"/>
  <c r="R125"/>
  <c r="R127" s="1"/>
  <c r="S125"/>
  <c r="S127" s="1"/>
  <c r="T125"/>
  <c r="T127"/>
  <c r="T128" s="1"/>
  <c r="E127"/>
  <c r="H127"/>
  <c r="H128"/>
  <c r="L127"/>
  <c r="L128"/>
  <c r="M127"/>
  <c r="M128"/>
  <c r="Q127"/>
  <c r="Q128"/>
  <c r="I130"/>
  <c r="I132"/>
  <c r="I133" s="1"/>
  <c r="D132"/>
  <c r="E132"/>
  <c r="F132"/>
  <c r="F133" s="1"/>
  <c r="G132"/>
  <c r="H132"/>
  <c r="H133"/>
  <c r="J132"/>
  <c r="J133"/>
  <c r="K132"/>
  <c r="K133"/>
  <c r="L132"/>
  <c r="L133"/>
  <c r="M132"/>
  <c r="M133"/>
  <c r="N132"/>
  <c r="N133"/>
  <c r="O132"/>
  <c r="O133"/>
  <c r="P132"/>
  <c r="P133"/>
  <c r="Q132"/>
  <c r="Q133"/>
  <c r="R132"/>
  <c r="R133"/>
  <c r="S132"/>
  <c r="T132"/>
  <c r="T133" s="1"/>
  <c r="G133"/>
  <c r="F151"/>
  <c r="H151"/>
  <c r="J151"/>
  <c r="P151"/>
  <c r="R151"/>
  <c r="R152"/>
  <c r="T151"/>
  <c r="T152"/>
  <c r="G151"/>
  <c r="G152"/>
  <c r="K151"/>
  <c r="K152"/>
  <c r="L151"/>
  <c r="L152"/>
  <c r="M151"/>
  <c r="M152"/>
  <c r="N151"/>
  <c r="O151"/>
  <c r="O152" s="1"/>
  <c r="P152"/>
  <c r="Q151"/>
  <c r="Q152"/>
  <c r="S151"/>
  <c r="S152"/>
  <c r="N152"/>
  <c r="F154"/>
  <c r="G154"/>
  <c r="H154"/>
  <c r="J154"/>
  <c r="K154"/>
  <c r="L154"/>
  <c r="L161"/>
  <c r="M154"/>
  <c r="M161"/>
  <c r="N154"/>
  <c r="O154"/>
  <c r="P154"/>
  <c r="Q154"/>
  <c r="R154"/>
  <c r="S154"/>
  <c r="T154"/>
  <c r="T161" s="1"/>
  <c r="F159"/>
  <c r="G159"/>
  <c r="H159"/>
  <c r="J159"/>
  <c r="K159"/>
  <c r="N159"/>
  <c r="O159"/>
  <c r="P159"/>
  <c r="P161"/>
  <c r="Q159"/>
  <c r="R159"/>
  <c r="S159"/>
  <c r="T159"/>
  <c r="E161"/>
  <c r="R161"/>
  <c r="R162"/>
  <c r="F164"/>
  <c r="G164"/>
  <c r="G166"/>
  <c r="G167" s="1"/>
  <c r="H164"/>
  <c r="H166" s="1"/>
  <c r="L164"/>
  <c r="L166"/>
  <c r="L167"/>
  <c r="O164"/>
  <c r="O166" s="1"/>
  <c r="S164"/>
  <c r="S166"/>
  <c r="S167"/>
  <c r="T164"/>
  <c r="T166" s="1"/>
  <c r="T167" s="1"/>
  <c r="E166"/>
  <c r="F166"/>
  <c r="F167" s="1"/>
  <c r="J166"/>
  <c r="J167"/>
  <c r="K166"/>
  <c r="K167"/>
  <c r="M166"/>
  <c r="M167"/>
  <c r="N166"/>
  <c r="N167"/>
  <c r="P166"/>
  <c r="P167"/>
  <c r="Q166"/>
  <c r="Q167"/>
  <c r="R166"/>
  <c r="R167"/>
  <c r="I183"/>
  <c r="I184"/>
  <c r="E183"/>
  <c r="F183"/>
  <c r="F184" s="1"/>
  <c r="G183"/>
  <c r="G184"/>
  <c r="H183"/>
  <c r="H184" s="1"/>
  <c r="J183"/>
  <c r="K183"/>
  <c r="L183"/>
  <c r="M183"/>
  <c r="M184"/>
  <c r="N183"/>
  <c r="N184"/>
  <c r="O183"/>
  <c r="O184"/>
  <c r="P183"/>
  <c r="P184"/>
  <c r="Q183"/>
  <c r="Q184"/>
  <c r="R183"/>
  <c r="S183"/>
  <c r="S184" s="1"/>
  <c r="T183"/>
  <c r="T184"/>
  <c r="K184"/>
  <c r="F187"/>
  <c r="G187"/>
  <c r="H187"/>
  <c r="J187"/>
  <c r="J193" s="1"/>
  <c r="K187"/>
  <c r="L187"/>
  <c r="M187"/>
  <c r="M193" s="1"/>
  <c r="N187"/>
  <c r="O187"/>
  <c r="P187"/>
  <c r="Q187"/>
  <c r="R187"/>
  <c r="S187"/>
  <c r="S193"/>
  <c r="S194"/>
  <c r="T187"/>
  <c r="F191"/>
  <c r="G191"/>
  <c r="H191"/>
  <c r="J191"/>
  <c r="K191"/>
  <c r="L191"/>
  <c r="N191"/>
  <c r="O191"/>
  <c r="P191"/>
  <c r="Q191"/>
  <c r="R191"/>
  <c r="T191"/>
  <c r="E193"/>
  <c r="H193"/>
  <c r="H194"/>
  <c r="I196"/>
  <c r="D198"/>
  <c r="E198"/>
  <c r="F198"/>
  <c r="F199"/>
  <c r="G198"/>
  <c r="G199" s="1"/>
  <c r="H198"/>
  <c r="H199" s="1"/>
  <c r="J198"/>
  <c r="J199"/>
  <c r="K198"/>
  <c r="K199"/>
  <c r="L198"/>
  <c r="L199"/>
  <c r="M198"/>
  <c r="N198"/>
  <c r="N199"/>
  <c r="O198"/>
  <c r="O199" s="1"/>
  <c r="P198"/>
  <c r="P199"/>
  <c r="Q198"/>
  <c r="R198"/>
  <c r="R199" s="1"/>
  <c r="S198"/>
  <c r="T198"/>
  <c r="T199"/>
  <c r="M199"/>
  <c r="Q199"/>
  <c r="E216"/>
  <c r="F216"/>
  <c r="G216"/>
  <c r="G217" s="1"/>
  <c r="H216"/>
  <c r="H217" s="1"/>
  <c r="J216"/>
  <c r="K216"/>
  <c r="L216"/>
  <c r="L217" s="1"/>
  <c r="M216"/>
  <c r="M217" s="1"/>
  <c r="N216"/>
  <c r="O216"/>
  <c r="P216"/>
  <c r="P217" s="1"/>
  <c r="Q216"/>
  <c r="Q217" s="1"/>
  <c r="R216"/>
  <c r="S216"/>
  <c r="T216"/>
  <c r="T217" s="1"/>
  <c r="F217"/>
  <c r="J217"/>
  <c r="K217"/>
  <c r="N217"/>
  <c r="O217"/>
  <c r="R217"/>
  <c r="S217"/>
  <c r="F219"/>
  <c r="G219"/>
  <c r="H219"/>
  <c r="J219"/>
  <c r="K219"/>
  <c r="L219"/>
  <c r="M219"/>
  <c r="M226" s="1"/>
  <c r="N219"/>
  <c r="O219"/>
  <c r="P219"/>
  <c r="Q219"/>
  <c r="R219"/>
  <c r="S219"/>
  <c r="T219"/>
  <c r="F224"/>
  <c r="G224"/>
  <c r="H224"/>
  <c r="J224"/>
  <c r="K224"/>
  <c r="N224"/>
  <c r="O224"/>
  <c r="P224"/>
  <c r="Q224"/>
  <c r="R224"/>
  <c r="S224"/>
  <c r="T224"/>
  <c r="E226"/>
  <c r="I229"/>
  <c r="I230"/>
  <c r="D231"/>
  <c r="E231"/>
  <c r="F231"/>
  <c r="F232"/>
  <c r="G231"/>
  <c r="G232" s="1"/>
  <c r="H231"/>
  <c r="H232"/>
  <c r="J231"/>
  <c r="J232" s="1"/>
  <c r="K231"/>
  <c r="K232"/>
  <c r="L231"/>
  <c r="L232" s="1"/>
  <c r="M231"/>
  <c r="M232"/>
  <c r="N231"/>
  <c r="N232" s="1"/>
  <c r="O231"/>
  <c r="O232"/>
  <c r="P231"/>
  <c r="P232" s="1"/>
  <c r="Q231"/>
  <c r="Q232"/>
  <c r="R231"/>
  <c r="R232"/>
  <c r="S231"/>
  <c r="S232"/>
  <c r="T231"/>
  <c r="T232"/>
  <c r="I248"/>
  <c r="I249"/>
  <c r="E248"/>
  <c r="F248"/>
  <c r="G248"/>
  <c r="H248"/>
  <c r="J248"/>
  <c r="K248"/>
  <c r="L248"/>
  <c r="M248"/>
  <c r="N248"/>
  <c r="O248"/>
  <c r="P248"/>
  <c r="Q248"/>
  <c r="R248"/>
  <c r="S248"/>
  <c r="T248"/>
  <c r="F249"/>
  <c r="G249"/>
  <c r="H249"/>
  <c r="J249"/>
  <c r="K249"/>
  <c r="L249"/>
  <c r="M249"/>
  <c r="N249"/>
  <c r="O249"/>
  <c r="P249"/>
  <c r="Q249"/>
  <c r="R249"/>
  <c r="S249"/>
  <c r="T249"/>
  <c r="F255"/>
  <c r="F258"/>
  <c r="F259" s="1"/>
  <c r="G255"/>
  <c r="G258" s="1"/>
  <c r="H255"/>
  <c r="H258" s="1"/>
  <c r="J255"/>
  <c r="J258"/>
  <c r="K255"/>
  <c r="K258"/>
  <c r="K265" s="1"/>
  <c r="K267" s="1"/>
  <c r="N255"/>
  <c r="N258"/>
  <c r="O255"/>
  <c r="P255"/>
  <c r="P258" s="1"/>
  <c r="Q255"/>
  <c r="Q258" s="1"/>
  <c r="R255"/>
  <c r="R258" s="1"/>
  <c r="S255"/>
  <c r="S258" s="1"/>
  <c r="T255"/>
  <c r="T258"/>
  <c r="E258"/>
  <c r="L258"/>
  <c r="L259" s="1"/>
  <c r="M258"/>
  <c r="M259" s="1"/>
  <c r="O258"/>
  <c r="O259" s="1"/>
  <c r="I261"/>
  <c r="I263" s="1"/>
  <c r="D263"/>
  <c r="E263"/>
  <c r="F263"/>
  <c r="F264"/>
  <c r="G263"/>
  <c r="G264"/>
  <c r="H263"/>
  <c r="H264"/>
  <c r="J263"/>
  <c r="J264"/>
  <c r="K263"/>
  <c r="K264"/>
  <c r="L263"/>
  <c r="M263"/>
  <c r="M264" s="1"/>
  <c r="N263"/>
  <c r="N264" s="1"/>
  <c r="O263"/>
  <c r="O264" s="1"/>
  <c r="P263"/>
  <c r="P264" s="1"/>
  <c r="Q263"/>
  <c r="R263"/>
  <c r="R264"/>
  <c r="S263"/>
  <c r="S264"/>
  <c r="T263"/>
  <c r="T264"/>
  <c r="L264"/>
  <c r="Q264"/>
  <c r="F277"/>
  <c r="G277"/>
  <c r="G282" s="1"/>
  <c r="H277"/>
  <c r="F280"/>
  <c r="G280"/>
  <c r="H280"/>
  <c r="J280"/>
  <c r="K280"/>
  <c r="K282" s="1"/>
  <c r="L280"/>
  <c r="L282" s="1"/>
  <c r="N280"/>
  <c r="O280"/>
  <c r="O282" s="1"/>
  <c r="P280"/>
  <c r="Q280"/>
  <c r="Q282"/>
  <c r="Q283" s="1"/>
  <c r="R280"/>
  <c r="R282" s="1"/>
  <c r="T280"/>
  <c r="E282"/>
  <c r="M282"/>
  <c r="M283"/>
  <c r="S282"/>
  <c r="S283"/>
  <c r="F290"/>
  <c r="F292"/>
  <c r="G290"/>
  <c r="G292"/>
  <c r="G293" s="1"/>
  <c r="H290"/>
  <c r="H292" s="1"/>
  <c r="H293" s="1"/>
  <c r="J290"/>
  <c r="J292"/>
  <c r="J293" s="1"/>
  <c r="K290"/>
  <c r="K292" s="1"/>
  <c r="K293" s="1"/>
  <c r="N290"/>
  <c r="N292"/>
  <c r="N293" s="1"/>
  <c r="O290"/>
  <c r="O292" s="1"/>
  <c r="O293" s="1"/>
  <c r="P290"/>
  <c r="P292"/>
  <c r="P293" s="1"/>
  <c r="Q290"/>
  <c r="Q292" s="1"/>
  <c r="R290"/>
  <c r="S290"/>
  <c r="S292"/>
  <c r="S293" s="1"/>
  <c r="T290"/>
  <c r="T292" s="1"/>
  <c r="E292"/>
  <c r="L292"/>
  <c r="L293" s="1"/>
  <c r="M292"/>
  <c r="M293" s="1"/>
  <c r="R292"/>
  <c r="R293" s="1"/>
  <c r="I295"/>
  <c r="F296"/>
  <c r="G296"/>
  <c r="H296"/>
  <c r="H298"/>
  <c r="H299" s="1"/>
  <c r="J296"/>
  <c r="J298" s="1"/>
  <c r="K296"/>
  <c r="K298" s="1"/>
  <c r="K299" s="1"/>
  <c r="L296"/>
  <c r="L298"/>
  <c r="M296"/>
  <c r="M298"/>
  <c r="N296"/>
  <c r="N298"/>
  <c r="O296"/>
  <c r="O298"/>
  <c r="P296"/>
  <c r="Q296"/>
  <c r="Q298" s="1"/>
  <c r="Q299" s="1"/>
  <c r="R296"/>
  <c r="R298"/>
  <c r="S296"/>
  <c r="S298"/>
  <c r="S299" s="1"/>
  <c r="T296"/>
  <c r="T298" s="1"/>
  <c r="T299" s="1"/>
  <c r="E298"/>
  <c r="G298"/>
  <c r="G299" s="1"/>
  <c r="P298"/>
  <c r="P299" s="1"/>
  <c r="F324"/>
  <c r="F326" s="1"/>
  <c r="F327" s="1"/>
  <c r="G324"/>
  <c r="G326"/>
  <c r="H324"/>
  <c r="H326"/>
  <c r="H327" s="1"/>
  <c r="J324"/>
  <c r="J326" s="1"/>
  <c r="K324"/>
  <c r="K326" s="1"/>
  <c r="N324"/>
  <c r="N326" s="1"/>
  <c r="O324"/>
  <c r="P324"/>
  <c r="P326"/>
  <c r="Q324"/>
  <c r="Q326"/>
  <c r="R324"/>
  <c r="R326"/>
  <c r="S324"/>
  <c r="S326"/>
  <c r="T324"/>
  <c r="T326"/>
  <c r="E326"/>
  <c r="L326"/>
  <c r="L327" s="1"/>
  <c r="M326"/>
  <c r="M327" s="1"/>
  <c r="O326"/>
  <c r="O327" s="1"/>
  <c r="I329"/>
  <c r="I331" s="1"/>
  <c r="I332" s="1"/>
  <c r="E331"/>
  <c r="F331"/>
  <c r="F332" s="1"/>
  <c r="G331"/>
  <c r="H331"/>
  <c r="J331"/>
  <c r="J332" s="1"/>
  <c r="K331"/>
  <c r="K332" s="1"/>
  <c r="L331"/>
  <c r="M331"/>
  <c r="N331"/>
  <c r="N332" s="1"/>
  <c r="O331"/>
  <c r="O332" s="1"/>
  <c r="P331"/>
  <c r="Q331"/>
  <c r="R331"/>
  <c r="R332" s="1"/>
  <c r="S331"/>
  <c r="S332" s="1"/>
  <c r="T331"/>
  <c r="G332"/>
  <c r="H332"/>
  <c r="L332"/>
  <c r="M332"/>
  <c r="P332"/>
  <c r="Q332"/>
  <c r="T332"/>
  <c r="F282"/>
  <c r="F283" s="1"/>
  <c r="L101"/>
  <c r="L103" s="1"/>
  <c r="G118"/>
  <c r="G134"/>
  <c r="G136"/>
  <c r="L134"/>
  <c r="L136" s="1"/>
  <c r="F226"/>
  <c r="F227" s="1"/>
  <c r="T226"/>
  <c r="T227" s="1"/>
  <c r="P226"/>
  <c r="P227" s="1"/>
  <c r="L226"/>
  <c r="L227" s="1"/>
  <c r="N193"/>
  <c r="N194" s="1"/>
  <c r="K193"/>
  <c r="K194" s="1"/>
  <c r="F193"/>
  <c r="F194" s="1"/>
  <c r="F128"/>
  <c r="F134"/>
  <c r="F136"/>
  <c r="J118"/>
  <c r="J134"/>
  <c r="J136" s="1"/>
  <c r="M265"/>
  <c r="M267" s="1"/>
  <c r="Q193"/>
  <c r="Q194" s="1"/>
  <c r="O193"/>
  <c r="O200" s="1"/>
  <c r="O202" s="1"/>
  <c r="I191"/>
  <c r="R193"/>
  <c r="R200" s="1"/>
  <c r="R202" s="1"/>
  <c r="P193"/>
  <c r="P194" s="1"/>
  <c r="S133"/>
  <c r="J34"/>
  <c r="I296"/>
  <c r="S161"/>
  <c r="S168"/>
  <c r="S170" s="1"/>
  <c r="Q161"/>
  <c r="Q168" s="1"/>
  <c r="Q170" s="1"/>
  <c r="H161"/>
  <c r="H162"/>
  <c r="F298"/>
  <c r="F299"/>
  <c r="T282"/>
  <c r="T283"/>
  <c r="J282"/>
  <c r="J283"/>
  <c r="T193"/>
  <c r="T200"/>
  <c r="T202" s="1"/>
  <c r="P200"/>
  <c r="P202" s="1"/>
  <c r="G193"/>
  <c r="G194" s="1"/>
  <c r="L184"/>
  <c r="J184"/>
  <c r="R168"/>
  <c r="R170" s="1"/>
  <c r="L265"/>
  <c r="L267" s="1"/>
  <c r="R226"/>
  <c r="R233" s="1"/>
  <c r="R235" s="1"/>
  <c r="N226"/>
  <c r="N233"/>
  <c r="N235" s="1"/>
  <c r="J226"/>
  <c r="J233" s="1"/>
  <c r="J235" s="1"/>
  <c r="G226"/>
  <c r="S226"/>
  <c r="Q226"/>
  <c r="O226"/>
  <c r="O227" s="1"/>
  <c r="K226"/>
  <c r="F233"/>
  <c r="F235" s="1"/>
  <c r="I198"/>
  <c r="I199" s="1"/>
  <c r="O62"/>
  <c r="O63" s="1"/>
  <c r="H62"/>
  <c r="H69" s="1"/>
  <c r="H71" s="1"/>
  <c r="I99"/>
  <c r="I100"/>
  <c r="T194"/>
  <c r="S162"/>
  <c r="N227"/>
  <c r="P282"/>
  <c r="P283"/>
  <c r="N282"/>
  <c r="H282"/>
  <c r="H300" s="1"/>
  <c r="H302" s="1"/>
  <c r="I255"/>
  <c r="I258"/>
  <c r="I259" s="1"/>
  <c r="R184"/>
  <c r="K200"/>
  <c r="K202" s="1"/>
  <c r="J100"/>
  <c r="J101"/>
  <c r="J103"/>
  <c r="O52"/>
  <c r="M333"/>
  <c r="M335" s="1"/>
  <c r="I298"/>
  <c r="I299" s="1"/>
  <c r="H333"/>
  <c r="H335" s="1"/>
  <c r="M162"/>
  <c r="M168"/>
  <c r="M170"/>
  <c r="O161"/>
  <c r="K161"/>
  <c r="K168" s="1"/>
  <c r="K170" s="1"/>
  <c r="F161"/>
  <c r="F162"/>
  <c r="Q118"/>
  <c r="Q134"/>
  <c r="Q136" s="1"/>
  <c r="M118"/>
  <c r="M134"/>
  <c r="M136"/>
  <c r="K118"/>
  <c r="K134"/>
  <c r="K136" s="1"/>
  <c r="S101"/>
  <c r="S103" s="1"/>
  <c r="Q62"/>
  <c r="Q63" s="1"/>
  <c r="K62"/>
  <c r="K63" s="1"/>
  <c r="F62"/>
  <c r="F63" s="1"/>
  <c r="I125"/>
  <c r="I127" s="1"/>
  <c r="I128" s="1"/>
  <c r="I47"/>
  <c r="I51" s="1"/>
  <c r="O194"/>
  <c r="N161"/>
  <c r="N168"/>
  <c r="N170" s="1"/>
  <c r="J161"/>
  <c r="J162" s="1"/>
  <c r="G161"/>
  <c r="G168" s="1"/>
  <c r="G170" s="1"/>
  <c r="Q101"/>
  <c r="Q103"/>
  <c r="M101"/>
  <c r="M103"/>
  <c r="I67"/>
  <c r="I68"/>
  <c r="H226"/>
  <c r="H233"/>
  <c r="H235" s="1"/>
  <c r="N162"/>
  <c r="F152"/>
  <c r="Q35"/>
  <c r="Q37"/>
  <c r="P300"/>
  <c r="P302"/>
  <c r="I277"/>
  <c r="I219"/>
  <c r="I159"/>
  <c r="I151"/>
  <c r="T95"/>
  <c r="T101"/>
  <c r="T103" s="1"/>
  <c r="P95"/>
  <c r="P101"/>
  <c r="P103" s="1"/>
  <c r="N95"/>
  <c r="N101"/>
  <c r="N103"/>
  <c r="M69"/>
  <c r="M71"/>
  <c r="I60"/>
  <c r="P52"/>
  <c r="P69"/>
  <c r="P71"/>
  <c r="S199"/>
  <c r="I92"/>
  <c r="I94" s="1"/>
  <c r="H86"/>
  <c r="H101"/>
  <c r="H103"/>
  <c r="F86"/>
  <c r="F101"/>
  <c r="F103" s="1"/>
  <c r="L68"/>
  <c r="L69"/>
  <c r="L71"/>
  <c r="I31"/>
  <c r="I33" s="1"/>
  <c r="I25"/>
  <c r="I27"/>
  <c r="G27"/>
  <c r="G327"/>
  <c r="G333"/>
  <c r="G335"/>
  <c r="H227"/>
  <c r="P168"/>
  <c r="P170"/>
  <c r="P162"/>
  <c r="T34"/>
  <c r="T35"/>
  <c r="T37"/>
  <c r="L34"/>
  <c r="L35"/>
  <c r="L37" s="1"/>
  <c r="S300"/>
  <c r="S302" s="1"/>
  <c r="I187"/>
  <c r="I193"/>
  <c r="I200" s="1"/>
  <c r="I202" s="1"/>
  <c r="I164"/>
  <c r="I166"/>
  <c r="I167" s="1"/>
  <c r="I55"/>
  <c r="I62" s="1"/>
  <c r="I63" s="1"/>
  <c r="P35"/>
  <c r="P37"/>
  <c r="F33"/>
  <c r="F35" s="1"/>
  <c r="F37" s="1"/>
  <c r="I290"/>
  <c r="I292" s="1"/>
  <c r="I280"/>
  <c r="I282"/>
  <c r="I283" s="1"/>
  <c r="I224"/>
  <c r="I154"/>
  <c r="I161" s="1"/>
  <c r="I116"/>
  <c r="I117" s="1"/>
  <c r="K35"/>
  <c r="K37"/>
  <c r="I324"/>
  <c r="I326"/>
  <c r="I327" s="1"/>
  <c r="J227"/>
  <c r="S227"/>
  <c r="S233"/>
  <c r="S235"/>
  <c r="Q69"/>
  <c r="Q71"/>
  <c r="F168"/>
  <c r="F170"/>
  <c r="K227"/>
  <c r="K233"/>
  <c r="K235" s="1"/>
  <c r="Q227"/>
  <c r="Q233"/>
  <c r="Q235"/>
  <c r="G227"/>
  <c r="G233"/>
  <c r="G235" s="1"/>
  <c r="O162"/>
  <c r="K162"/>
  <c r="N283"/>
  <c r="G28"/>
  <c r="G35"/>
  <c r="G37"/>
  <c r="F34"/>
  <c r="I226"/>
  <c r="I227" s="1"/>
  <c r="F200"/>
  <c r="F202" s="1"/>
  <c r="N299"/>
  <c r="N300"/>
  <c r="N302" s="1"/>
  <c r="F293"/>
  <c r="L168"/>
  <c r="L170"/>
  <c r="L162"/>
  <c r="R63"/>
  <c r="R69"/>
  <c r="R71"/>
  <c r="O34"/>
  <c r="O35"/>
  <c r="O37"/>
  <c r="M300"/>
  <c r="M302"/>
  <c r="M299"/>
  <c r="L193"/>
  <c r="L200" s="1"/>
  <c r="L202" s="1"/>
  <c r="Q200"/>
  <c r="Q202"/>
  <c r="S200"/>
  <c r="S202"/>
  <c r="H200"/>
  <c r="H202"/>
  <c r="S327"/>
  <c r="S333"/>
  <c r="S335"/>
  <c r="Q327"/>
  <c r="Q333"/>
  <c r="Q335" s="1"/>
  <c r="I194"/>
  <c r="I152"/>
  <c r="R327"/>
  <c r="R333"/>
  <c r="R335" s="1"/>
  <c r="R227"/>
  <c r="O333"/>
  <c r="O335"/>
  <c r="I231"/>
  <c r="I232"/>
  <c r="P327"/>
  <c r="L299"/>
  <c r="T259"/>
  <c r="T265"/>
  <c r="T267" s="1"/>
  <c r="N259"/>
  <c r="N265"/>
  <c r="N267" s="1"/>
  <c r="J152"/>
  <c r="J168"/>
  <c r="J170" s="1"/>
  <c r="T327"/>
  <c r="T333"/>
  <c r="T335"/>
  <c r="R299"/>
  <c r="O299"/>
  <c r="J259"/>
  <c r="J265"/>
  <c r="J267"/>
  <c r="H152"/>
  <c r="O265"/>
  <c r="O267" s="1"/>
  <c r="I233"/>
  <c r="I235" s="1"/>
  <c r="N134"/>
  <c r="N136" s="1"/>
  <c r="N128"/>
  <c r="G63"/>
  <c r="J28"/>
  <c r="J35"/>
  <c r="J37"/>
  <c r="T118"/>
  <c r="T134"/>
  <c r="T136" s="1"/>
  <c r="H35"/>
  <c r="H37" s="1"/>
  <c r="H28"/>
  <c r="I28"/>
  <c r="K259"/>
  <c r="F300"/>
  <c r="F302" s="1"/>
  <c r="H63"/>
  <c r="I134" l="1"/>
  <c r="I136" s="1"/>
  <c r="I118"/>
  <c r="J327"/>
  <c r="J333"/>
  <c r="J335" s="1"/>
  <c r="G283"/>
  <c r="G300"/>
  <c r="G302" s="1"/>
  <c r="I265"/>
  <c r="I267" s="1"/>
  <c r="I264"/>
  <c r="R265"/>
  <c r="R267" s="1"/>
  <c r="R259"/>
  <c r="M233"/>
  <c r="M235" s="1"/>
  <c r="M227"/>
  <c r="R128"/>
  <c r="R134"/>
  <c r="R136" s="1"/>
  <c r="H134"/>
  <c r="H136" s="1"/>
  <c r="H118"/>
  <c r="M35"/>
  <c r="M37" s="1"/>
  <c r="M34"/>
  <c r="S69"/>
  <c r="S71" s="1"/>
  <c r="S52"/>
  <c r="I317"/>
  <c r="I333"/>
  <c r="I335" s="1"/>
  <c r="P333"/>
  <c r="P335" s="1"/>
  <c r="P317"/>
  <c r="I101"/>
  <c r="I103" s="1"/>
  <c r="I95"/>
  <c r="K333"/>
  <c r="K335" s="1"/>
  <c r="K327"/>
  <c r="T300"/>
  <c r="T302" s="1"/>
  <c r="T293"/>
  <c r="Q300"/>
  <c r="Q302" s="1"/>
  <c r="Q293"/>
  <c r="R300"/>
  <c r="R302" s="1"/>
  <c r="R283"/>
  <c r="O283"/>
  <c r="O300"/>
  <c r="O302" s="1"/>
  <c r="S265"/>
  <c r="S267" s="1"/>
  <c r="S259"/>
  <c r="G265"/>
  <c r="G267" s="1"/>
  <c r="G259"/>
  <c r="M194"/>
  <c r="M200"/>
  <c r="M202" s="1"/>
  <c r="O168"/>
  <c r="O170" s="1"/>
  <c r="O167"/>
  <c r="H168"/>
  <c r="H170" s="1"/>
  <c r="H167"/>
  <c r="T168"/>
  <c r="T170" s="1"/>
  <c r="T162"/>
  <c r="S128"/>
  <c r="S134"/>
  <c r="S136" s="1"/>
  <c r="O128"/>
  <c r="O134"/>
  <c r="O136" s="1"/>
  <c r="O95"/>
  <c r="O101"/>
  <c r="O103" s="1"/>
  <c r="N69"/>
  <c r="N71" s="1"/>
  <c r="N63"/>
  <c r="N28"/>
  <c r="N35"/>
  <c r="N37" s="1"/>
  <c r="G52"/>
  <c r="G69"/>
  <c r="G71" s="1"/>
  <c r="I35"/>
  <c r="I37" s="1"/>
  <c r="I34"/>
  <c r="N333"/>
  <c r="N335" s="1"/>
  <c r="N327"/>
  <c r="K300"/>
  <c r="K302" s="1"/>
  <c r="K283"/>
  <c r="P265"/>
  <c r="P267" s="1"/>
  <c r="P259"/>
  <c r="H265"/>
  <c r="H267" s="1"/>
  <c r="H259"/>
  <c r="J200"/>
  <c r="J202" s="1"/>
  <c r="J194"/>
  <c r="P128"/>
  <c r="P134"/>
  <c r="P136" s="1"/>
  <c r="K95"/>
  <c r="K101"/>
  <c r="K103" s="1"/>
  <c r="T63"/>
  <c r="T69"/>
  <c r="T71" s="1"/>
  <c r="J63"/>
  <c r="J69"/>
  <c r="J71" s="1"/>
  <c r="S34"/>
  <c r="S35"/>
  <c r="S37" s="1"/>
  <c r="R35"/>
  <c r="R37" s="1"/>
  <c r="R28"/>
  <c r="I162"/>
  <c r="I168"/>
  <c r="I170" s="1"/>
  <c r="I300"/>
  <c r="I302" s="1"/>
  <c r="I293"/>
  <c r="I52"/>
  <c r="I69"/>
  <c r="I71" s="1"/>
  <c r="J300"/>
  <c r="J302" s="1"/>
  <c r="J299"/>
  <c r="L300"/>
  <c r="L302" s="1"/>
  <c r="L283"/>
  <c r="Q265"/>
  <c r="Q267" s="1"/>
  <c r="Q259"/>
  <c r="R101"/>
  <c r="R103" s="1"/>
  <c r="R95"/>
  <c r="G95"/>
  <c r="G101"/>
  <c r="G103" s="1"/>
  <c r="K52"/>
  <c r="K69"/>
  <c r="K71" s="1"/>
  <c r="L317"/>
  <c r="L333"/>
  <c r="L335" s="1"/>
  <c r="L194"/>
  <c r="H283"/>
  <c r="O233"/>
  <c r="O235" s="1"/>
  <c r="G162"/>
  <c r="G200"/>
  <c r="G202" s="1"/>
  <c r="L233"/>
  <c r="L235" s="1"/>
  <c r="T233"/>
  <c r="T235" s="1"/>
  <c r="Q162"/>
  <c r="R194"/>
  <c r="F316"/>
  <c r="F265"/>
  <c r="F267" s="1"/>
  <c r="O69"/>
  <c r="O71" s="1"/>
  <c r="F69"/>
  <c r="F71" s="1"/>
  <c r="N200"/>
  <c r="N202" s="1"/>
  <c r="P233"/>
  <c r="P235" s="1"/>
  <c r="F333" l="1"/>
  <c r="F335" s="1"/>
  <c r="F317"/>
</calcChain>
</file>

<file path=xl/sharedStrings.xml><?xml version="1.0" encoding="utf-8"?>
<sst xmlns="http://schemas.openxmlformats.org/spreadsheetml/2006/main" count="584" uniqueCount="125">
  <si>
    <t>Приложение 8 к СанПиН 2.3/2.4.3590-20</t>
  </si>
  <si>
    <t>Примерное меню и пищевая ценность приготовляемых блюд</t>
  </si>
  <si>
    <t xml:space="preserve">Рацион: Школа </t>
  </si>
  <si>
    <t>понедельник</t>
  </si>
  <si>
    <t>Неделя:</t>
  </si>
  <si>
    <t>№ рец. по сборнику</t>
  </si>
  <si>
    <t>каша  молочная манная с маслом сливочным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</si>
  <si>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</si>
  <si>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</si>
  <si>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</si>
  <si>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</si>
  <si>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</si>
  <si>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</si>
  <si>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</si>
  <si>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</si>
  <si>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</si>
  <si>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</si>
  <si>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</si>
  <si>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</si>
  <si>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</si>
  <si>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</si>
  <si>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</si>
  <si>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</si>
  <si>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</si>
  <si>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</si>
  <si>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</si>
  <si>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>Завтрак молочный</t>
  </si>
  <si>
    <t>Бутерброд с сыром</t>
  </si>
  <si>
    <t>30/15</t>
  </si>
  <si>
    <t>Каша  молочная манная с маслом сливочным</t>
  </si>
  <si>
    <t>ПР</t>
  </si>
  <si>
    <t>Молоко ''Авишка''</t>
  </si>
  <si>
    <t>200</t>
  </si>
  <si>
    <t>Кондитерское изделие</t>
  </si>
  <si>
    <t>Итого за Завтрак молочный</t>
  </si>
  <si>
    <t>% от суточной нормы</t>
  </si>
  <si>
    <t>Обед (полноценный рацион питания)</t>
  </si>
  <si>
    <t>45</t>
  </si>
  <si>
    <t>Салат из белокочанной капусты с морковью</t>
  </si>
  <si>
    <t xml:space="preserve">Суп картофельный с горохом </t>
  </si>
  <si>
    <t>Палочки детские "Детские" запеченые (в соответствии с ГОСТ Р 55366-2012)</t>
  </si>
  <si>
    <t>Макаронные изделия отварные с маслом сливочным</t>
  </si>
  <si>
    <t xml:space="preserve">Компот из смеси сухофруктов     С- витаминизированный </t>
  </si>
  <si>
    <t>Хлеб ржано-пшеничный</t>
  </si>
  <si>
    <t>Фрукты</t>
  </si>
  <si>
    <t>Итого за Обед (полноценный рацион питания)</t>
  </si>
  <si>
    <t>Полдник</t>
  </si>
  <si>
    <t>конвертик с сыром</t>
  </si>
  <si>
    <t>Чай с лимоном</t>
  </si>
  <si>
    <t>Итого за Полдник</t>
  </si>
  <si>
    <t>Итого в день</t>
  </si>
  <si>
    <t>суточная норма</t>
  </si>
  <si>
    <t>Примерное меню и пищевая ценность приготовляемых блюд (лист 2)</t>
  </si>
  <si>
    <t>вторник</t>
  </si>
  <si>
    <t>№
рец.</t>
  </si>
  <si>
    <t>Прием пищи, наименование блюда</t>
  </si>
  <si>
    <t>Завтрак мясной</t>
  </si>
  <si>
    <t xml:space="preserve">Холодная закуска: Овощи порционно / Огурец </t>
  </si>
  <si>
    <t xml:space="preserve">Рис отварной с маслом сливочным </t>
  </si>
  <si>
    <t>Хлеб пшеничный</t>
  </si>
  <si>
    <t>Итого за Завтрак мясной</t>
  </si>
  <si>
    <t>Салат из свеклы с маслом растительным</t>
  </si>
  <si>
    <t>Суп картофельный с макаронными изделиями</t>
  </si>
  <si>
    <t>Рыба, запеченная с овощами и сыром</t>
  </si>
  <si>
    <t>Компот из быстрозамороженных ягод  (компотная смесь)</t>
  </si>
  <si>
    <t>Пирожок с  начинкой</t>
  </si>
  <si>
    <t>Кофейный напиток</t>
  </si>
  <si>
    <t>ПРИМЕЧАНИЕ  ** могут быть использованы нектары,морсы, напитки сокосодержащие (в т.ч. обогащенные)</t>
  </si>
  <si>
    <t>Примерное меню и пищевая ценность приготовляемых блюд (лист 3)</t>
  </si>
  <si>
    <t>Рацион: Школа</t>
  </si>
  <si>
    <t>среда</t>
  </si>
  <si>
    <t>Сгущенное молоко</t>
  </si>
  <si>
    <t>Пудинг творожный</t>
  </si>
  <si>
    <t xml:space="preserve">Салат из  свежих помидоров и огурцов с растительным маслом </t>
  </si>
  <si>
    <t xml:space="preserve">Борщ со свежей капустой </t>
  </si>
  <si>
    <t>Плов  с  птицей</t>
  </si>
  <si>
    <t>Лимонный напиток</t>
  </si>
  <si>
    <t>котлета в тесте</t>
  </si>
  <si>
    <t>Чай  с сахаром</t>
  </si>
  <si>
    <t>Примерное меню и пищевая ценность приготовляемых блюд (лист 4)</t>
  </si>
  <si>
    <t>четверг</t>
  </si>
  <si>
    <t>Рассольник "Ленинградский" на бульоне</t>
  </si>
  <si>
    <t>Бифштекс рубленый "Детский" (в соответствии с ГОСТ Р 55366-2012)</t>
  </si>
  <si>
    <t>пицца с курицей</t>
  </si>
  <si>
    <t>Примерное меню и пищевая ценность приготовляемых блюд (лист 5)</t>
  </si>
  <si>
    <t>пятница</t>
  </si>
  <si>
    <t>Суп картофельный с рыбными консервами</t>
  </si>
  <si>
    <t>Котлеты "Куриные"</t>
  </si>
  <si>
    <t>Рагу овощное</t>
  </si>
  <si>
    <t>Оладьи с яблоками</t>
  </si>
  <si>
    <t>Йогурт</t>
  </si>
  <si>
    <t>100</t>
  </si>
  <si>
    <t>Примерное меню и пищевая ценность приготовляемых блюд (лист 6)</t>
  </si>
  <si>
    <t>Булочка сдобная</t>
  </si>
  <si>
    <t xml:space="preserve">Каша Дружба молочная с маслом сливочным </t>
  </si>
  <si>
    <t>Борщ "Сибирский" с фасолью</t>
  </si>
  <si>
    <t>Бедро цыпленка тушеное с овощами</t>
  </si>
  <si>
    <t>120/20</t>
  </si>
  <si>
    <t>Ватрушка с повидлом</t>
  </si>
  <si>
    <t>Примерное меню и пищевая ценность приготовляемых блюд (лист 7)</t>
  </si>
  <si>
    <t>Овощи порционно /  огурец</t>
  </si>
  <si>
    <t>Винегрет овощной</t>
  </si>
  <si>
    <t>Каша гречневая  рассыпчатая с маслом</t>
  </si>
  <si>
    <t>Пирожок с начинкой</t>
  </si>
  <si>
    <t>какаю</t>
  </si>
  <si>
    <t>Примерное меню и пищевая ценность приготовляемых блюд (лист 8)</t>
  </si>
  <si>
    <t xml:space="preserve">Молоко сгущенное порционно </t>
  </si>
  <si>
    <t>Суп картофельный с крупами (пшено)</t>
  </si>
  <si>
    <t xml:space="preserve">Жаркое по- домашнему </t>
  </si>
  <si>
    <t>Плюшка</t>
  </si>
  <si>
    <t>Примерное меню и пищевая ценность приготовляемых блюд (лист 9)</t>
  </si>
  <si>
    <t xml:space="preserve">I </t>
  </si>
  <si>
    <t xml:space="preserve">Щи из свежей капусты </t>
  </si>
  <si>
    <t>Оладьи "Домашние" со сгущенным молоком</t>
  </si>
  <si>
    <t xml:space="preserve">Какао с молоком </t>
  </si>
  <si>
    <t>Примерное меню и пищевая ценность приготовляемых блюд (лист 10)</t>
  </si>
  <si>
    <t xml:space="preserve">Суп картофельный с вермишелью на курином бульоне  </t>
  </si>
  <si>
    <t>Блинчики с начинкой</t>
  </si>
  <si>
    <t>Рекомендуется использование продуктов и сырья по ГОСТам на детскую продукцию для питания детей старше 3-х лет и на специализированное сырье для производства продукции детского питания.</t>
  </si>
  <si>
    <t>250</t>
  </si>
  <si>
    <t>Гуляш мясной</t>
  </si>
  <si>
    <t>60/50</t>
  </si>
  <si>
    <t>Биточки рыбные</t>
  </si>
  <si>
    <t>Каша рассыпчатая пшенная</t>
  </si>
  <si>
    <t>Плов  с  гречкой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</si>
</sst>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%"/>
    <numFmt numFmtId="167" formatCode="0.0000"/>
  </numFmts>
  <fonts count="10">
    <font>
      <sz val="8"/>
      <name val="Arial"/>
      <family val="2"/>
      <charset val="204"/>
    </font>
    <font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</cellStyleXfs>
  <cellXfs count="210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left"/>
    </xf>
    <xf numFmtId="0" fontId="0" fillId="0" borderId="0" xfId="0" applyFont="1"/>
    <xf numFmtId="0" fontId="3" fillId="2" borderId="0" xfId="0" applyFont="1" applyFill="1" applyAlignment="1">
      <alignment horizontal="left" vertical="center"/>
    </xf>
    <xf numFmtId="2" fontId="0" fillId="2" borderId="0" xfId="0" applyNumberFormat="1" applyFont="1" applyFill="1" applyAlignment="1">
      <alignment horizontal="left"/>
    </xf>
    <xf numFmtId="1" fontId="0" fillId="2" borderId="0" xfId="0" applyNumberFormat="1" applyFont="1" applyFill="1" applyAlignment="1">
      <alignment horizontal="left"/>
    </xf>
    <xf numFmtId="0" fontId="0" fillId="2" borderId="1" xfId="0" applyNumberFormat="1" applyFont="1" applyFill="1" applyBorder="1" applyAlignment="1">
      <alignment horizontal="center" vertical="center" wrapText="1"/>
    </xf>
    <xf numFmtId="2" fontId="0" fillId="2" borderId="2" xfId="0" applyNumberFormat="1" applyFont="1" applyFill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1" fontId="0" fillId="2" borderId="1" xfId="0" applyNumberFormat="1" applyFont="1" applyFill="1" applyBorder="1" applyAlignment="1">
      <alignment horizontal="center" vertical="top"/>
    </xf>
    <xf numFmtId="164" fontId="0" fillId="2" borderId="1" xfId="0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1" fontId="0" fillId="2" borderId="1" xfId="1" applyNumberFormat="1" applyFont="1" applyFill="1" applyBorder="1" applyAlignment="1">
      <alignment horizontal="center" vertical="center"/>
    </xf>
    <xf numFmtId="49" fontId="0" fillId="2" borderId="1" xfId="1" applyNumberFormat="1" applyFont="1" applyFill="1" applyBorder="1" applyAlignment="1">
      <alignment horizontal="center" vertical="top"/>
    </xf>
    <xf numFmtId="2" fontId="0" fillId="2" borderId="1" xfId="1" applyNumberFormat="1" applyFont="1" applyFill="1" applyBorder="1" applyAlignment="1">
      <alignment horizontal="center" vertical="top"/>
    </xf>
    <xf numFmtId="0" fontId="0" fillId="2" borderId="1" xfId="1" applyNumberFormat="1" applyFont="1" applyFill="1" applyBorder="1" applyAlignment="1">
      <alignment horizontal="center" vertical="top"/>
    </xf>
    <xf numFmtId="165" fontId="0" fillId="2" borderId="1" xfId="1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0" fontId="3" fillId="2" borderId="1" xfId="0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2" fontId="3" fillId="2" borderId="5" xfId="0" applyNumberFormat="1" applyFont="1" applyFill="1" applyBorder="1" applyAlignment="1">
      <alignment horizontal="left"/>
    </xf>
    <xf numFmtId="10" fontId="3" fillId="2" borderId="1" xfId="6" applyNumberFormat="1" applyFont="1" applyFill="1" applyBorder="1"/>
    <xf numFmtId="166" fontId="3" fillId="2" borderId="1" xfId="6" applyNumberFormat="1" applyFont="1" applyFill="1" applyBorder="1"/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2" fontId="3" fillId="2" borderId="1" xfId="6" applyNumberFormat="1" applyFont="1" applyFill="1" applyBorder="1"/>
    <xf numFmtId="49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top" wrapText="1"/>
    </xf>
    <xf numFmtId="2" fontId="0" fillId="2" borderId="1" xfId="1" applyNumberFormat="1" applyFont="1" applyFill="1" applyBorder="1" applyAlignment="1">
      <alignment horizontal="center" vertical="top" wrapText="1"/>
    </xf>
    <xf numFmtId="164" fontId="0" fillId="2" borderId="1" xfId="1" applyNumberFormat="1" applyFont="1" applyFill="1" applyBorder="1" applyAlignment="1">
      <alignment horizontal="center" vertical="top" wrapText="1"/>
    </xf>
    <xf numFmtId="1" fontId="0" fillId="2" borderId="1" xfId="1" applyNumberFormat="1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>
      <alignment horizontal="center" vertical="top"/>
    </xf>
    <xf numFmtId="164" fontId="0" fillId="2" borderId="1" xfId="1" applyNumberFormat="1" applyFont="1" applyFill="1" applyBorder="1" applyAlignment="1">
      <alignment horizontal="center" vertical="top"/>
    </xf>
    <xf numFmtId="1" fontId="0" fillId="2" borderId="1" xfId="1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165" fontId="0" fillId="2" borderId="1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/>
    <xf numFmtId="0" fontId="3" fillId="2" borderId="6" xfId="0" applyFont="1" applyFill="1" applyBorder="1" applyAlignment="1"/>
    <xf numFmtId="2" fontId="3" fillId="2" borderId="0" xfId="0" applyNumberFormat="1" applyFont="1" applyFill="1" applyBorder="1" applyAlignment="1">
      <alignment horizontal="left"/>
    </xf>
    <xf numFmtId="10" fontId="3" fillId="2" borderId="0" xfId="6" applyNumberFormat="1" applyFont="1" applyFill="1"/>
    <xf numFmtId="10" fontId="3" fillId="2" borderId="1" xfId="0" applyNumberFormat="1" applyFont="1" applyFill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/>
    </xf>
    <xf numFmtId="9" fontId="3" fillId="2" borderId="1" xfId="0" applyNumberFormat="1" applyFont="1" applyFill="1" applyBorder="1" applyAlignment="1">
      <alignment horizontal="center" vertical="top"/>
    </xf>
    <xf numFmtId="0" fontId="3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right"/>
    </xf>
    <xf numFmtId="1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" fontId="0" fillId="2" borderId="1" xfId="0" applyNumberFormat="1" applyFont="1" applyFill="1" applyBorder="1" applyAlignment="1">
      <alignment horizontal="center" vertical="top" wrapText="1"/>
    </xf>
    <xf numFmtId="167" fontId="0" fillId="2" borderId="1" xfId="1" applyNumberFormat="1" applyFont="1" applyFill="1" applyBorder="1" applyAlignment="1">
      <alignment horizontal="center" vertical="top"/>
    </xf>
    <xf numFmtId="0" fontId="0" fillId="2" borderId="4" xfId="0" applyNumberFormat="1" applyFont="1" applyFill="1" applyBorder="1" applyAlignment="1">
      <alignment horizontal="center" vertical="center"/>
    </xf>
    <xf numFmtId="166" fontId="3" fillId="2" borderId="2" xfId="6" applyNumberFormat="1" applyFont="1" applyFill="1" applyBorder="1"/>
    <xf numFmtId="0" fontId="4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left"/>
    </xf>
    <xf numFmtId="2" fontId="0" fillId="2" borderId="4" xfId="0" applyNumberFormat="1" applyFont="1" applyFill="1" applyBorder="1" applyAlignment="1">
      <alignment horizontal="center" vertical="center"/>
    </xf>
    <xf numFmtId="166" fontId="3" fillId="2" borderId="0" xfId="6" applyNumberFormat="1" applyFont="1" applyFill="1"/>
    <xf numFmtId="1" fontId="3" fillId="2" borderId="1" xfId="0" applyNumberFormat="1" applyFont="1" applyFill="1" applyBorder="1" applyAlignment="1">
      <alignment horizontal="center" vertical="top"/>
    </xf>
    <xf numFmtId="10" fontId="0" fillId="0" borderId="0" xfId="0" applyNumberFormat="1" applyFont="1"/>
    <xf numFmtId="0" fontId="0" fillId="2" borderId="0" xfId="0" applyNumberFormat="1" applyFont="1" applyFill="1" applyAlignment="1">
      <alignment horizontal="right"/>
    </xf>
    <xf numFmtId="2" fontId="0" fillId="2" borderId="7" xfId="0" applyNumberFormat="1" applyFont="1" applyFill="1" applyBorder="1" applyAlignment="1">
      <alignment horizontal="center" vertical="center" wrapText="1"/>
    </xf>
    <xf numFmtId="2" fontId="0" fillId="2" borderId="4" xfId="0" applyNumberFormat="1" applyFont="1" applyFill="1" applyBorder="1" applyAlignment="1">
      <alignment horizontal="left" vertical="center" wrapText="1"/>
    </xf>
    <xf numFmtId="2" fontId="0" fillId="2" borderId="5" xfId="0" applyNumberFormat="1" applyFont="1" applyFill="1" applyBorder="1" applyAlignment="1">
      <alignment horizontal="left" vertical="center" wrapText="1"/>
    </xf>
    <xf numFmtId="1" fontId="0" fillId="2" borderId="4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 vertical="top"/>
    </xf>
    <xf numFmtId="10" fontId="3" fillId="2" borderId="6" xfId="0" applyNumberFormat="1" applyFont="1" applyFill="1" applyBorder="1" applyAlignment="1">
      <alignment horizontal="center" vertical="top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top"/>
    </xf>
    <xf numFmtId="164" fontId="0" fillId="0" borderId="1" xfId="0" applyNumberFormat="1" applyFont="1" applyFill="1" applyBorder="1" applyAlignment="1">
      <alignment horizontal="center" vertical="top"/>
    </xf>
    <xf numFmtId="165" fontId="0" fillId="0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1" applyNumberFormat="1" applyFont="1" applyFill="1" applyBorder="1" applyAlignment="1">
      <alignment horizontal="center" vertical="top"/>
    </xf>
    <xf numFmtId="0" fontId="0" fillId="0" borderId="1" xfId="1" applyNumberFormat="1" applyFont="1" applyFill="1" applyBorder="1" applyAlignment="1">
      <alignment horizontal="center" vertical="top"/>
    </xf>
    <xf numFmtId="0" fontId="3" fillId="0" borderId="6" xfId="0" applyFont="1" applyFill="1" applyBorder="1" applyAlignment="1"/>
    <xf numFmtId="1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2" fontId="3" fillId="0" borderId="6" xfId="0" applyNumberFormat="1" applyFont="1" applyFill="1" applyBorder="1" applyAlignment="1">
      <alignment horizontal="left"/>
    </xf>
    <xf numFmtId="10" fontId="3" fillId="0" borderId="6" xfId="0" applyNumberFormat="1" applyFont="1" applyFill="1" applyBorder="1" applyAlignment="1">
      <alignment horizontal="center" vertical="top"/>
    </xf>
    <xf numFmtId="10" fontId="3" fillId="0" borderId="1" xfId="0" applyNumberFormat="1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center" vertical="top"/>
    </xf>
    <xf numFmtId="165" fontId="0" fillId="0" borderId="1" xfId="1" applyNumberFormat="1" applyFont="1" applyFill="1" applyBorder="1" applyAlignment="1">
      <alignment horizontal="center" vertical="top"/>
    </xf>
    <xf numFmtId="164" fontId="0" fillId="0" borderId="1" xfId="1" applyNumberFormat="1" applyFont="1" applyFill="1" applyBorder="1" applyAlignment="1">
      <alignment horizontal="center" vertical="top"/>
    </xf>
    <xf numFmtId="2" fontId="3" fillId="2" borderId="4" xfId="0" applyNumberFormat="1" applyFont="1" applyFill="1" applyBorder="1" applyAlignmen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 indent="1"/>
    </xf>
    <xf numFmtId="164" fontId="0" fillId="2" borderId="1" xfId="0" applyNumberFormat="1" applyFont="1" applyFill="1" applyBorder="1" applyAlignment="1">
      <alignment horizontal="right" vertical="center" indent="1"/>
    </xf>
    <xf numFmtId="2" fontId="0" fillId="2" borderId="1" xfId="0" applyNumberFormat="1" applyFont="1" applyFill="1" applyBorder="1" applyAlignment="1">
      <alignment horizontal="right" vertical="center" indent="1"/>
    </xf>
    <xf numFmtId="1" fontId="0" fillId="2" borderId="5" xfId="0" applyNumberFormat="1" applyFont="1" applyFill="1" applyBorder="1" applyAlignment="1">
      <alignment horizontal="center" vertical="top"/>
    </xf>
    <xf numFmtId="2" fontId="0" fillId="2" borderId="5" xfId="0" applyNumberFormat="1" applyFont="1" applyFill="1" applyBorder="1" applyAlignment="1">
      <alignment horizontal="center" vertical="top"/>
    </xf>
    <xf numFmtId="1" fontId="3" fillId="2" borderId="5" xfId="0" applyNumberFormat="1" applyFont="1" applyFill="1" applyBorder="1" applyAlignment="1"/>
    <xf numFmtId="2" fontId="3" fillId="2" borderId="5" xfId="0" applyNumberFormat="1" applyFont="1" applyFill="1" applyBorder="1" applyAlignment="1"/>
    <xf numFmtId="0" fontId="0" fillId="2" borderId="0" xfId="0" applyFill="1" applyAlignment="1">
      <alignment vertical="center"/>
    </xf>
    <xf numFmtId="0" fontId="0" fillId="2" borderId="0" xfId="0" applyFill="1"/>
    <xf numFmtId="2" fontId="0" fillId="2" borderId="0" xfId="0" applyNumberForma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2" fontId="6" fillId="2" borderId="0" xfId="0" applyNumberFormat="1" applyFont="1" applyFill="1" applyAlignment="1">
      <alignment vertical="center"/>
    </xf>
    <xf numFmtId="0" fontId="6" fillId="0" borderId="0" xfId="0" applyFont="1"/>
    <xf numFmtId="1" fontId="7" fillId="2" borderId="1" xfId="3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top"/>
    </xf>
    <xf numFmtId="1" fontId="7" fillId="2" borderId="1" xfId="3" applyNumberFormat="1" applyFont="1" applyFill="1" applyBorder="1" applyAlignment="1">
      <alignment horizontal="center" vertical="top"/>
    </xf>
    <xf numFmtId="2" fontId="7" fillId="2" borderId="1" xfId="1" applyNumberFormat="1" applyFont="1" applyFill="1" applyBorder="1" applyAlignment="1">
      <alignment horizontal="center" vertical="top"/>
    </xf>
    <xf numFmtId="0" fontId="7" fillId="2" borderId="1" xfId="1" applyNumberFormat="1" applyFont="1" applyFill="1" applyBorder="1" applyAlignment="1">
      <alignment horizontal="center" vertical="top"/>
    </xf>
    <xf numFmtId="165" fontId="7" fillId="2" borderId="1" xfId="1" applyNumberFormat="1" applyFont="1" applyFill="1" applyBorder="1" applyAlignment="1">
      <alignment horizontal="center" vertical="top"/>
    </xf>
    <xf numFmtId="0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top"/>
    </xf>
    <xf numFmtId="167" fontId="7" fillId="2" borderId="1" xfId="1" applyNumberFormat="1" applyFont="1" applyFill="1" applyBorder="1" applyAlignment="1">
      <alignment horizontal="center" vertical="top"/>
    </xf>
    <xf numFmtId="0" fontId="7" fillId="2" borderId="4" xfId="3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top"/>
    </xf>
    <xf numFmtId="2" fontId="0" fillId="4" borderId="1" xfId="0" applyNumberFormat="1" applyFont="1" applyFill="1" applyBorder="1" applyAlignment="1">
      <alignment horizontal="center" vertical="top"/>
    </xf>
    <xf numFmtId="2" fontId="7" fillId="4" borderId="1" xfId="1" applyNumberFormat="1" applyFont="1" applyFill="1" applyBorder="1" applyAlignment="1">
      <alignment horizontal="center" vertical="top"/>
    </xf>
    <xf numFmtId="164" fontId="7" fillId="4" borderId="1" xfId="1" applyNumberFormat="1" applyFont="1" applyFill="1" applyBorder="1" applyAlignment="1">
      <alignment horizontal="center" vertical="top"/>
    </xf>
    <xf numFmtId="165" fontId="7" fillId="4" borderId="1" xfId="1" applyNumberFormat="1" applyFont="1" applyFill="1" applyBorder="1" applyAlignment="1">
      <alignment horizontal="center" vertical="top"/>
    </xf>
    <xf numFmtId="0" fontId="7" fillId="4" borderId="1" xfId="3" applyNumberFormat="1" applyFont="1" applyFill="1" applyBorder="1" applyAlignment="1">
      <alignment horizontal="center" vertical="top" wrapText="1"/>
    </xf>
    <xf numFmtId="2" fontId="7" fillId="4" borderId="1" xfId="3" applyNumberFormat="1" applyFont="1" applyFill="1" applyBorder="1" applyAlignment="1">
      <alignment horizontal="center" vertical="top" wrapText="1"/>
    </xf>
    <xf numFmtId="164" fontId="7" fillId="4" borderId="1" xfId="3" applyNumberFormat="1" applyFont="1" applyFill="1" applyBorder="1" applyAlignment="1">
      <alignment horizontal="center" vertical="top" wrapText="1"/>
    </xf>
    <xf numFmtId="1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/>
    <xf numFmtId="1" fontId="7" fillId="4" borderId="1" xfId="3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/>
    </xf>
    <xf numFmtId="0" fontId="7" fillId="3" borderId="8" xfId="2" applyNumberFormat="1" applyFont="1" applyFill="1" applyBorder="1" applyAlignment="1">
      <alignment horizontal="center" vertical="top"/>
    </xf>
    <xf numFmtId="165" fontId="7" fillId="3" borderId="8" xfId="2" applyNumberFormat="1" applyFont="1" applyFill="1" applyBorder="1" applyAlignment="1">
      <alignment horizontal="center" vertical="top"/>
    </xf>
    <xf numFmtId="2" fontId="7" fillId="3" borderId="8" xfId="2" applyNumberFormat="1" applyFont="1" applyFill="1" applyBorder="1" applyAlignment="1">
      <alignment horizontal="center" vertical="top"/>
    </xf>
    <xf numFmtId="164" fontId="7" fillId="3" borderId="8" xfId="2" applyNumberFormat="1" applyFont="1" applyFill="1" applyBorder="1" applyAlignment="1">
      <alignment horizontal="center" vertical="top"/>
    </xf>
    <xf numFmtId="0" fontId="0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7" fillId="4" borderId="4" xfId="3" applyNumberFormat="1" applyFont="1" applyFill="1" applyBorder="1" applyAlignment="1">
      <alignment horizontal="left" vertical="center" wrapText="1"/>
    </xf>
    <xf numFmtId="0" fontId="7" fillId="4" borderId="5" xfId="3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7" fillId="2" borderId="1" xfId="1" applyNumberFormat="1" applyFont="1" applyFill="1" applyBorder="1" applyAlignment="1">
      <alignment horizontal="left" vertical="center" wrapText="1"/>
    </xf>
    <xf numFmtId="2" fontId="0" fillId="2" borderId="1" xfId="1" applyNumberFormat="1" applyFont="1" applyFill="1" applyBorder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left" vertical="center" wrapText="1"/>
    </xf>
    <xf numFmtId="1" fontId="0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indent="1"/>
    </xf>
    <xf numFmtId="0" fontId="7" fillId="4" borderId="1" xfId="3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0" fillId="2" borderId="1" xfId="3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/>
    </xf>
    <xf numFmtId="10" fontId="3" fillId="2" borderId="1" xfId="0" applyNumberFormat="1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right"/>
    </xf>
    <xf numFmtId="2" fontId="0" fillId="2" borderId="4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0" fillId="2" borderId="1" xfId="0" applyNumberFormat="1" applyFont="1" applyFill="1" applyBorder="1" applyAlignment="1">
      <alignment horizontal="left" vertical="center" wrapText="1"/>
    </xf>
    <xf numFmtId="0" fontId="0" fillId="4" borderId="4" xfId="0" applyNumberFormat="1" applyFont="1" applyFill="1" applyBorder="1" applyAlignment="1">
      <alignment horizontal="left" vertical="center" wrapText="1"/>
    </xf>
    <xf numFmtId="0" fontId="0" fillId="4" borderId="5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2" fontId="0" fillId="0" borderId="1" xfId="0" applyNumberFormat="1" applyFont="1" applyFill="1" applyBorder="1" applyAlignment="1">
      <alignment horizontal="left" vertical="center" wrapText="1"/>
    </xf>
    <xf numFmtId="0" fontId="0" fillId="2" borderId="4" xfId="1" applyNumberFormat="1" applyFont="1" applyFill="1" applyBorder="1" applyAlignment="1">
      <alignment horizontal="left" vertical="center" wrapText="1"/>
    </xf>
    <xf numFmtId="0" fontId="0" fillId="2" borderId="5" xfId="1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indent="1"/>
    </xf>
    <xf numFmtId="0" fontId="0" fillId="2" borderId="1" xfId="0" applyFont="1" applyFill="1" applyBorder="1" applyAlignment="1">
      <alignment horizontal="left" vertical="center" wrapText="1"/>
    </xf>
    <xf numFmtId="0" fontId="0" fillId="4" borderId="1" xfId="0" applyNumberFormat="1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/>
    </xf>
    <xf numFmtId="10" fontId="3" fillId="2" borderId="4" xfId="0" applyNumberFormat="1" applyFont="1" applyFill="1" applyBorder="1" applyAlignment="1">
      <alignment horizontal="left"/>
    </xf>
    <xf numFmtId="10" fontId="3" fillId="2" borderId="6" xfId="0" applyNumberFormat="1" applyFont="1" applyFill="1" applyBorder="1" applyAlignment="1">
      <alignment horizontal="left"/>
    </xf>
    <xf numFmtId="10" fontId="3" fillId="2" borderId="5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left" indent="1"/>
    </xf>
    <xf numFmtId="2" fontId="0" fillId="2" borderId="5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/>
    <xf numFmtId="0" fontId="0" fillId="0" borderId="6" xfId="0" applyBorder="1" applyAlignment="1"/>
    <xf numFmtId="0" fontId="0" fillId="0" borderId="5" xfId="0" applyBorder="1" applyAlignment="1"/>
  </cellXfs>
  <cellStyles count="10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Процентный" xfId="6" builtinId="5"/>
    <cellStyle name="Процентный 2" xfId="7"/>
    <cellStyle name="Процентный 3" xfId="8"/>
    <cellStyle name="Процентный 4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42333</xdr:colOff>
      <xdr:row>1</xdr:row>
      <xdr:rowOff>5143500</xdr:rowOff>
    </xdr:to>
    <xdr:pic>
      <xdr:nvPicPr>
        <xdr:cNvPr id="3" name="Рисунок 2" descr="WhatsApp Image 2022-08-31 at 15.57.44 (1)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862542" y="-862542"/>
          <a:ext cx="10350500" cy="12075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41"/>
  <sheetViews>
    <sheetView tabSelected="1" zoomScale="30" zoomScaleNormal="30" workbookViewId="0">
      <selection activeCell="AE2" sqref="AE2"/>
    </sheetView>
  </sheetViews>
  <sheetFormatPr defaultRowHeight="11.25"/>
  <cols>
    <col min="1" max="1" width="9.5" style="1" customWidth="1"/>
    <col min="2" max="2" width="16.33203125" style="1" customWidth="1"/>
    <col min="3" max="3" width="25.1640625" style="1" customWidth="1"/>
    <col min="4" max="4" width="8" style="2" customWidth="1"/>
    <col min="5" max="5" width="14.83203125" style="3" customWidth="1"/>
    <col min="6" max="6" width="10.33203125" style="3" customWidth="1"/>
    <col min="7" max="7" width="9.6640625" style="2" customWidth="1"/>
    <col min="8" max="8" width="8.5" style="2" customWidth="1"/>
    <col min="9" max="9" width="10" style="2" customWidth="1"/>
    <col min="10" max="10" width="9" style="2" customWidth="1"/>
    <col min="11" max="11" width="9.83203125" style="2" customWidth="1"/>
    <col min="12" max="12" width="12.33203125" style="2" customWidth="1"/>
    <col min="13" max="13" width="10.33203125" style="2" customWidth="1"/>
    <col min="14" max="14" width="9.5" style="2" customWidth="1"/>
    <col min="15" max="15" width="10.6640625" style="2" customWidth="1"/>
    <col min="16" max="17" width="9.1640625" style="2" customWidth="1"/>
    <col min="18" max="18" width="9" style="2" customWidth="1"/>
    <col min="19" max="19" width="9.5" style="2" customWidth="1"/>
    <col min="20" max="20" width="8.6640625" style="2" customWidth="1"/>
  </cols>
  <sheetData>
    <row r="1" spans="1:20" ht="408.75" customHeight="1"/>
    <row r="2" spans="1:20" ht="408.75" customHeight="1"/>
    <row r="3" spans="1:20" s="9" customFormat="1" ht="11.25" customHeight="1">
      <c r="A3" s="4"/>
      <c r="B3" s="5"/>
      <c r="C3" s="5"/>
      <c r="D3" s="6"/>
      <c r="E3" s="7"/>
      <c r="F3" s="7"/>
      <c r="G3" s="6"/>
      <c r="H3" s="6"/>
      <c r="I3" s="6"/>
      <c r="J3" s="6"/>
      <c r="K3" s="6"/>
      <c r="L3" s="8"/>
      <c r="M3" s="160" t="s">
        <v>0</v>
      </c>
      <c r="N3" s="160"/>
      <c r="O3" s="160"/>
      <c r="P3" s="160"/>
      <c r="Q3" s="160"/>
      <c r="R3" s="160"/>
      <c r="S3" s="160"/>
      <c r="T3" s="160"/>
    </row>
    <row r="4" spans="1:20" s="9" customFormat="1" ht="15.75" customHeight="1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s="9" customFormat="1" ht="11.25" customHeight="1">
      <c r="A5" s="10" t="s">
        <v>2</v>
      </c>
      <c r="B5" s="5"/>
      <c r="C5" s="5"/>
      <c r="D5" s="8"/>
      <c r="E5" s="11"/>
      <c r="F5" s="7"/>
      <c r="G5" s="162" t="s">
        <v>3</v>
      </c>
      <c r="H5" s="162"/>
      <c r="I5" s="162"/>
      <c r="J5" s="6"/>
      <c r="K5" s="6"/>
      <c r="L5" s="163"/>
      <c r="M5" s="163"/>
      <c r="N5" s="164"/>
      <c r="O5" s="164"/>
      <c r="P5" s="164"/>
      <c r="Q5" s="164"/>
      <c r="R5" s="6"/>
      <c r="S5" s="6"/>
      <c r="T5" s="6"/>
    </row>
    <row r="6" spans="1:20" s="9" customFormat="1" ht="11.25" customHeight="1">
      <c r="A6" s="5"/>
      <c r="B6" s="5"/>
      <c r="C6" s="5"/>
      <c r="D6" s="163" t="s">
        <v>4</v>
      </c>
      <c r="E6" s="163"/>
      <c r="F6" s="163"/>
      <c r="G6" s="12">
        <v>1</v>
      </c>
      <c r="H6" s="6"/>
      <c r="I6" s="8"/>
      <c r="J6" s="8"/>
      <c r="K6" s="8"/>
      <c r="L6" s="163"/>
      <c r="M6" s="163"/>
      <c r="N6" s="162"/>
      <c r="O6" s="162"/>
      <c r="P6" s="162"/>
      <c r="Q6" s="162"/>
      <c r="R6" s="162"/>
      <c r="S6" s="162"/>
      <c r="T6" s="162"/>
    </row>
    <row r="7" spans="1:20" s="9" customFormat="1" ht="21.75" customHeight="1">
      <c r="A7" s="165" t="s">
        <v>5</v>
      </c>
      <c r="B7" s="165" t="s">
        <v>6</v>
      </c>
      <c r="C7" s="165"/>
      <c r="D7" s="165" t="s">
        <v>7</v>
      </c>
      <c r="E7" s="14"/>
      <c r="F7" s="165" t="s">
        <v>8</v>
      </c>
      <c r="G7" s="165"/>
      <c r="H7" s="165"/>
      <c r="I7" s="165" t="s">
        <v>9</v>
      </c>
      <c r="J7" s="165" t="s">
        <v>10</v>
      </c>
      <c r="K7" s="165"/>
      <c r="L7" s="165"/>
      <c r="M7" s="165"/>
      <c r="N7" s="165"/>
      <c r="O7" s="165" t="s">
        <v>11</v>
      </c>
      <c r="P7" s="165"/>
      <c r="Q7" s="165"/>
      <c r="R7" s="165"/>
      <c r="S7" s="165"/>
      <c r="T7" s="165"/>
    </row>
    <row r="8" spans="1:20" s="9" customFormat="1" ht="21" customHeight="1">
      <c r="A8" s="165"/>
      <c r="B8" s="165"/>
      <c r="C8" s="165"/>
      <c r="D8" s="165"/>
      <c r="E8" s="15"/>
      <c r="F8" s="16" t="s">
        <v>12</v>
      </c>
      <c r="G8" s="13" t="s">
        <v>13</v>
      </c>
      <c r="H8" s="13" t="s">
        <v>14</v>
      </c>
      <c r="I8" s="165"/>
      <c r="J8" s="13" t="s">
        <v>15</v>
      </c>
      <c r="K8" s="13" t="s">
        <v>16</v>
      </c>
      <c r="L8" s="13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</row>
    <row r="9" spans="1:20" s="9" customFormat="1" ht="11.25" customHeight="1">
      <c r="A9" s="17">
        <v>1</v>
      </c>
      <c r="B9" s="175">
        <v>2</v>
      </c>
      <c r="C9" s="175"/>
      <c r="D9" s="18">
        <v>3</v>
      </c>
      <c r="E9" s="19"/>
      <c r="F9" s="19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8">
        <v>12</v>
      </c>
      <c r="O9" s="18">
        <v>13</v>
      </c>
      <c r="P9" s="18">
        <v>14</v>
      </c>
      <c r="Q9" s="18">
        <v>15</v>
      </c>
      <c r="R9" s="18">
        <v>16</v>
      </c>
      <c r="S9" s="18">
        <v>17</v>
      </c>
      <c r="T9" s="18">
        <v>18</v>
      </c>
    </row>
    <row r="10" spans="1:20" s="9" customFormat="1" ht="11.25" customHeight="1">
      <c r="A10" s="176" t="s">
        <v>26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</row>
    <row r="11" spans="1:20" s="6" customFormat="1" ht="11.25" customHeight="1">
      <c r="A11" s="32" t="s">
        <v>30</v>
      </c>
      <c r="B11" s="167" t="s">
        <v>71</v>
      </c>
      <c r="C11" s="167"/>
      <c r="D11" s="24">
        <v>20</v>
      </c>
      <c r="E11" s="23">
        <v>6.6</v>
      </c>
      <c r="F11" s="26">
        <v>1.7</v>
      </c>
      <c r="G11" s="26">
        <v>1.7</v>
      </c>
      <c r="H11" s="26">
        <v>1.7</v>
      </c>
      <c r="I11" s="26">
        <v>1.7</v>
      </c>
      <c r="J11" s="26">
        <v>1.7</v>
      </c>
      <c r="K11" s="26">
        <v>1.7</v>
      </c>
      <c r="L11" s="26">
        <v>1.7</v>
      </c>
      <c r="M11" s="26">
        <v>1.7</v>
      </c>
      <c r="N11" s="26">
        <v>1.7</v>
      </c>
      <c r="O11" s="26">
        <v>1.7</v>
      </c>
      <c r="P11" s="26">
        <v>1.7</v>
      </c>
      <c r="Q11" s="26">
        <v>1.7</v>
      </c>
      <c r="R11" s="26">
        <v>1.7</v>
      </c>
      <c r="S11" s="26">
        <v>1.7</v>
      </c>
      <c r="T11" s="26">
        <v>1.7</v>
      </c>
    </row>
    <row r="12" spans="1:20" s="6" customFormat="1" ht="21.75" customHeight="1">
      <c r="A12" s="154" t="s">
        <v>30</v>
      </c>
      <c r="B12" s="168" t="s">
        <v>117</v>
      </c>
      <c r="C12" s="169"/>
      <c r="D12" s="148">
        <v>120</v>
      </c>
      <c r="E12" s="149">
        <v>30</v>
      </c>
      <c r="F12" s="149">
        <v>6.87</v>
      </c>
      <c r="G12" s="149">
        <v>8.1</v>
      </c>
      <c r="H12" s="149">
        <v>35.43</v>
      </c>
      <c r="I12" s="149">
        <v>241.99</v>
      </c>
      <c r="J12" s="150">
        <v>5.8999999999999997E-2</v>
      </c>
      <c r="K12" s="149">
        <v>0.24399999999999999</v>
      </c>
      <c r="L12" s="149">
        <v>0.24</v>
      </c>
      <c r="M12" s="150">
        <v>12.8</v>
      </c>
      <c r="N12" s="150">
        <v>0.54</v>
      </c>
      <c r="O12" s="149">
        <v>30.42</v>
      </c>
      <c r="P12" s="149">
        <v>98.6</v>
      </c>
      <c r="Q12" s="150">
        <v>0.69</v>
      </c>
      <c r="R12" s="150">
        <v>0</v>
      </c>
      <c r="S12" s="149">
        <v>23.5</v>
      </c>
      <c r="T12" s="149">
        <v>0.78</v>
      </c>
    </row>
    <row r="13" spans="1:20" s="6" customFormat="1" ht="12.75" customHeight="1">
      <c r="A13" s="20">
        <v>15</v>
      </c>
      <c r="B13" s="170" t="s">
        <v>27</v>
      </c>
      <c r="C13" s="170"/>
      <c r="D13" s="21" t="s">
        <v>28</v>
      </c>
      <c r="E13" s="22">
        <v>11.25</v>
      </c>
      <c r="F13" s="23">
        <v>0.46</v>
      </c>
      <c r="G13" s="23">
        <v>0.68</v>
      </c>
      <c r="H13" s="23">
        <v>0</v>
      </c>
      <c r="I13" s="23">
        <v>7.98</v>
      </c>
      <c r="J13" s="23">
        <v>0</v>
      </c>
      <c r="K13" s="23">
        <v>0.01</v>
      </c>
      <c r="L13" s="24">
        <v>0.01</v>
      </c>
      <c r="M13" s="24">
        <v>5.0000000000000001E-3</v>
      </c>
      <c r="N13" s="23">
        <v>0.01</v>
      </c>
      <c r="O13" s="23">
        <v>17.600000000000001</v>
      </c>
      <c r="P13" s="23">
        <v>10</v>
      </c>
      <c r="Q13" s="24">
        <v>0.08</v>
      </c>
      <c r="R13" s="24">
        <v>4.0000000000000001E-3</v>
      </c>
      <c r="S13" s="23">
        <v>0.7</v>
      </c>
      <c r="T13" s="23">
        <v>0.03</v>
      </c>
    </row>
    <row r="14" spans="1:20" s="6" customFormat="1" ht="11.25" customHeight="1">
      <c r="A14" s="135">
        <v>377</v>
      </c>
      <c r="B14" s="172" t="s">
        <v>48</v>
      </c>
      <c r="C14" s="172"/>
      <c r="D14" s="137">
        <v>200</v>
      </c>
      <c r="E14" s="132">
        <v>3.3</v>
      </c>
      <c r="F14" s="132">
        <v>0.26</v>
      </c>
      <c r="G14" s="132">
        <v>0.06</v>
      </c>
      <c r="H14" s="132">
        <v>15.22</v>
      </c>
      <c r="I14" s="132">
        <v>62.46</v>
      </c>
      <c r="J14" s="132">
        <v>0</v>
      </c>
      <c r="K14" s="132">
        <v>0.01</v>
      </c>
      <c r="L14" s="132">
        <v>2.9</v>
      </c>
      <c r="M14" s="133">
        <v>0</v>
      </c>
      <c r="N14" s="132">
        <v>0.06</v>
      </c>
      <c r="O14" s="132">
        <v>8.0500000000000007</v>
      </c>
      <c r="P14" s="132">
        <v>9.7799999999999994</v>
      </c>
      <c r="Q14" s="132">
        <v>1.7000000000000001E-2</v>
      </c>
      <c r="R14" s="136">
        <v>0</v>
      </c>
      <c r="S14" s="132">
        <v>5.24</v>
      </c>
      <c r="T14" s="132">
        <v>0.87</v>
      </c>
    </row>
    <row r="15" spans="1:20" s="6" customFormat="1" ht="12.75" customHeight="1">
      <c r="A15" s="139" t="s">
        <v>30</v>
      </c>
      <c r="B15" s="179" t="s">
        <v>33</v>
      </c>
      <c r="C15" s="177"/>
      <c r="D15" s="131">
        <v>15</v>
      </c>
      <c r="E15" s="130">
        <v>16.14</v>
      </c>
      <c r="F15" s="33">
        <v>0.65</v>
      </c>
      <c r="G15" s="34">
        <v>3.8</v>
      </c>
      <c r="H15" s="35">
        <v>17.600000000000001</v>
      </c>
      <c r="I15" s="33">
        <v>38</v>
      </c>
      <c r="J15" s="33">
        <v>2.5999999999999999E-2</v>
      </c>
      <c r="K15" s="33">
        <v>0.03</v>
      </c>
      <c r="L15" s="33">
        <v>0.13</v>
      </c>
      <c r="M15" s="33">
        <v>11.96</v>
      </c>
      <c r="N15" s="34">
        <v>0.39</v>
      </c>
      <c r="O15" s="33">
        <v>24.18</v>
      </c>
      <c r="P15" s="33">
        <v>49.4</v>
      </c>
      <c r="Q15" s="36">
        <v>0.2</v>
      </c>
      <c r="R15" s="33">
        <v>2E-3</v>
      </c>
      <c r="S15" s="33">
        <v>18.72</v>
      </c>
      <c r="T15" s="33">
        <v>0.182</v>
      </c>
    </row>
    <row r="16" spans="1:20" s="9" customFormat="1" ht="11.25" customHeight="1">
      <c r="A16" s="37" t="s">
        <v>34</v>
      </c>
      <c r="B16" s="38"/>
      <c r="C16" s="38"/>
      <c r="D16" s="39">
        <v>400</v>
      </c>
      <c r="E16" s="40">
        <f t="shared" ref="E16:T16" si="0">SUM(E11:E15)</f>
        <v>67.289999999999992</v>
      </c>
      <c r="F16" s="41">
        <f t="shared" si="0"/>
        <v>9.9400000000000013</v>
      </c>
      <c r="G16" s="42">
        <f t="shared" si="0"/>
        <v>14.34</v>
      </c>
      <c r="H16" s="42">
        <f t="shared" si="0"/>
        <v>69.95</v>
      </c>
      <c r="I16" s="42">
        <f t="shared" si="0"/>
        <v>352.13</v>
      </c>
      <c r="J16" s="41">
        <f t="shared" si="0"/>
        <v>1.7849999999999999</v>
      </c>
      <c r="K16" s="41">
        <f t="shared" si="0"/>
        <v>1.994</v>
      </c>
      <c r="L16" s="41">
        <f t="shared" si="0"/>
        <v>4.9799999999999995</v>
      </c>
      <c r="M16" s="41">
        <f t="shared" si="0"/>
        <v>26.465000000000003</v>
      </c>
      <c r="N16" s="41">
        <f t="shared" si="0"/>
        <v>2.7</v>
      </c>
      <c r="O16" s="41">
        <f t="shared" si="0"/>
        <v>81.950000000000017</v>
      </c>
      <c r="P16" s="41">
        <f t="shared" si="0"/>
        <v>169.48</v>
      </c>
      <c r="Q16" s="41">
        <f t="shared" si="0"/>
        <v>2.6869999999999998</v>
      </c>
      <c r="R16" s="43">
        <f t="shared" si="0"/>
        <v>1.706</v>
      </c>
      <c r="S16" s="41">
        <f t="shared" si="0"/>
        <v>49.86</v>
      </c>
      <c r="T16" s="41">
        <f t="shared" si="0"/>
        <v>3.5619999999999998</v>
      </c>
    </row>
    <row r="17" spans="1:20" s="9" customFormat="1" ht="11.25" customHeight="1">
      <c r="A17" s="171" t="s">
        <v>35</v>
      </c>
      <c r="B17" s="171"/>
      <c r="C17" s="171"/>
      <c r="D17" s="171"/>
      <c r="E17" s="44"/>
      <c r="F17" s="45">
        <f t="shared" ref="F17:T17" si="1">F16/F36</f>
        <v>0.11044444444444446</v>
      </c>
      <c r="G17" s="46">
        <f t="shared" si="1"/>
        <v>0.15586956521739131</v>
      </c>
      <c r="H17" s="46">
        <f t="shared" si="1"/>
        <v>0.18263707571801568</v>
      </c>
      <c r="I17" s="46">
        <f t="shared" si="1"/>
        <v>0.12945955882352941</v>
      </c>
      <c r="J17" s="46">
        <f t="shared" si="1"/>
        <v>1.2750000000000001</v>
      </c>
      <c r="K17" s="46">
        <f t="shared" si="1"/>
        <v>1.2462499999999999</v>
      </c>
      <c r="L17" s="46">
        <f t="shared" si="1"/>
        <v>7.1142857142857133E-2</v>
      </c>
      <c r="M17" s="46">
        <f t="shared" si="1"/>
        <v>29.405555555555559</v>
      </c>
      <c r="N17" s="46">
        <f t="shared" si="1"/>
        <v>0.22500000000000001</v>
      </c>
      <c r="O17" s="46">
        <f t="shared" si="1"/>
        <v>6.8291666666666681E-2</v>
      </c>
      <c r="P17" s="46">
        <f t="shared" si="1"/>
        <v>0.14123333333333332</v>
      </c>
      <c r="Q17" s="46">
        <f t="shared" si="1"/>
        <v>0.19192857142857142</v>
      </c>
      <c r="R17" s="46">
        <f t="shared" si="1"/>
        <v>17.059999999999999</v>
      </c>
      <c r="S17" s="46">
        <f t="shared" si="1"/>
        <v>0.16619999999999999</v>
      </c>
      <c r="T17" s="46">
        <f t="shared" si="1"/>
        <v>0.19788888888888889</v>
      </c>
    </row>
    <row r="18" spans="1:20" s="9" customFormat="1" ht="11.25" customHeight="1">
      <c r="A18" s="47"/>
      <c r="B18" s="48"/>
      <c r="C18" s="48"/>
      <c r="D18" s="49"/>
      <c r="E18" s="44"/>
      <c r="F18" s="50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s="9" customFormat="1" ht="11.25" customHeight="1">
      <c r="A19" s="176" t="s">
        <v>36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</row>
    <row r="20" spans="1:20" s="6" customFormat="1" ht="18.75" customHeight="1">
      <c r="A20" s="51" t="s">
        <v>37</v>
      </c>
      <c r="B20" s="166" t="s">
        <v>38</v>
      </c>
      <c r="C20" s="166"/>
      <c r="D20" s="52">
        <v>60</v>
      </c>
      <c r="E20" s="53">
        <v>2.82</v>
      </c>
      <c r="F20" s="53">
        <v>0.9</v>
      </c>
      <c r="G20" s="53">
        <v>1.31</v>
      </c>
      <c r="H20" s="53">
        <v>5.6</v>
      </c>
      <c r="I20" s="53">
        <v>37.79</v>
      </c>
      <c r="J20" s="54">
        <v>0.06</v>
      </c>
      <c r="K20" s="53">
        <v>7.0000000000000007E-2</v>
      </c>
      <c r="L20" s="55">
        <v>15.5</v>
      </c>
      <c r="M20" s="54">
        <v>7.0999999999999994E-2</v>
      </c>
      <c r="N20" s="52">
        <v>0.3</v>
      </c>
      <c r="O20" s="53">
        <v>28.2</v>
      </c>
      <c r="P20" s="53">
        <v>18.899999999999999</v>
      </c>
      <c r="Q20" s="54">
        <v>0.2</v>
      </c>
      <c r="R20" s="54">
        <v>1E-3</v>
      </c>
      <c r="S20" s="53">
        <v>10.5</v>
      </c>
      <c r="T20" s="53">
        <v>0.6</v>
      </c>
    </row>
    <row r="21" spans="1:20" s="6" customFormat="1" ht="22.5" customHeight="1">
      <c r="A21" s="17">
        <v>102</v>
      </c>
      <c r="B21" s="167" t="s">
        <v>39</v>
      </c>
      <c r="C21" s="167"/>
      <c r="D21" s="56" t="s">
        <v>119</v>
      </c>
      <c r="E21" s="23">
        <v>5.89</v>
      </c>
      <c r="F21" s="29">
        <v>6.22</v>
      </c>
      <c r="G21" s="29">
        <v>3.99</v>
      </c>
      <c r="H21" s="29">
        <v>21.73</v>
      </c>
      <c r="I21" s="29">
        <v>147.71</v>
      </c>
      <c r="J21" s="29">
        <v>0.27</v>
      </c>
      <c r="K21" s="29">
        <v>0.09</v>
      </c>
      <c r="L21" s="29">
        <v>9</v>
      </c>
      <c r="M21" s="57">
        <v>1E-3</v>
      </c>
      <c r="N21" s="29">
        <v>0.25700000000000001</v>
      </c>
      <c r="O21" s="29">
        <v>54.13</v>
      </c>
      <c r="P21" s="29">
        <v>183.2</v>
      </c>
      <c r="Q21" s="29">
        <v>1.157</v>
      </c>
      <c r="R21" s="57">
        <v>1.2999999999999999E-2</v>
      </c>
      <c r="S21" s="29">
        <v>49.63</v>
      </c>
      <c r="T21" s="29">
        <v>1.03</v>
      </c>
    </row>
    <row r="22" spans="1:20" s="6" customFormat="1" ht="22.5" customHeight="1">
      <c r="A22" s="17">
        <v>268</v>
      </c>
      <c r="B22" s="167" t="s">
        <v>40</v>
      </c>
      <c r="C22" s="167"/>
      <c r="D22" s="24">
        <v>80</v>
      </c>
      <c r="E22" s="23">
        <v>32.82</v>
      </c>
      <c r="F22" s="29">
        <v>13.460000000000003</v>
      </c>
      <c r="G22" s="31">
        <v>10.86</v>
      </c>
      <c r="H22" s="31">
        <v>5.34</v>
      </c>
      <c r="I22" s="29">
        <v>172.94800000000001</v>
      </c>
      <c r="J22" s="29">
        <v>7.0000000000000007E-2</v>
      </c>
      <c r="K22" s="29">
        <v>0.23000000000000004</v>
      </c>
      <c r="L22" s="29">
        <v>0.75</v>
      </c>
      <c r="M22" s="30">
        <v>0.2</v>
      </c>
      <c r="N22" s="57">
        <v>2.1000000000000001E-2</v>
      </c>
      <c r="O22" s="29">
        <v>73.739999999999995</v>
      </c>
      <c r="P22" s="31">
        <v>184.82</v>
      </c>
      <c r="Q22" s="29">
        <v>2.2799999999999998</v>
      </c>
      <c r="R22" s="57">
        <v>0.03</v>
      </c>
      <c r="S22" s="29">
        <v>29.860000000000003</v>
      </c>
      <c r="T22" s="29">
        <v>1.9300000000000002</v>
      </c>
    </row>
    <row r="23" spans="1:20" s="6" customFormat="1" ht="24" customHeight="1">
      <c r="A23" s="17">
        <v>202</v>
      </c>
      <c r="B23" s="167" t="s">
        <v>41</v>
      </c>
      <c r="C23" s="167"/>
      <c r="D23" s="24">
        <v>180</v>
      </c>
      <c r="E23" s="23">
        <v>7.93</v>
      </c>
      <c r="F23" s="29">
        <v>6.84</v>
      </c>
      <c r="G23" s="29">
        <v>4.1159999999999997</v>
      </c>
      <c r="H23" s="29">
        <v>43.74</v>
      </c>
      <c r="I23" s="29">
        <v>239.364</v>
      </c>
      <c r="J23" s="29">
        <v>0.108</v>
      </c>
      <c r="K23" s="29">
        <v>3.5999999999999997E-2</v>
      </c>
      <c r="L23" s="29">
        <v>0</v>
      </c>
      <c r="M23" s="57">
        <v>3.5999999999999997E-2</v>
      </c>
      <c r="N23" s="29">
        <v>1.5</v>
      </c>
      <c r="O23" s="29">
        <v>15.936</v>
      </c>
      <c r="P23" s="29">
        <v>55.451999999999998</v>
      </c>
      <c r="Q23" s="29">
        <v>0.93600000000000005</v>
      </c>
      <c r="R23" s="57">
        <v>2E-3</v>
      </c>
      <c r="S23" s="29">
        <v>10.164</v>
      </c>
      <c r="T23" s="29">
        <v>1.032</v>
      </c>
    </row>
    <row r="24" spans="1:20" s="6" customFormat="1" ht="30" customHeight="1">
      <c r="A24" s="32">
        <v>349</v>
      </c>
      <c r="B24" s="167" t="s">
        <v>42</v>
      </c>
      <c r="C24" s="167"/>
      <c r="D24" s="24">
        <v>200</v>
      </c>
      <c r="E24" s="23">
        <v>5.76</v>
      </c>
      <c r="F24" s="29">
        <v>0.2</v>
      </c>
      <c r="G24" s="30">
        <v>0</v>
      </c>
      <c r="H24" s="29">
        <v>24.42</v>
      </c>
      <c r="I24" s="29">
        <v>98.56</v>
      </c>
      <c r="J24" s="30">
        <v>0</v>
      </c>
      <c r="K24" s="30">
        <v>0</v>
      </c>
      <c r="L24" s="29">
        <v>26.11</v>
      </c>
      <c r="M24" s="30">
        <v>0</v>
      </c>
      <c r="N24" s="30">
        <v>0</v>
      </c>
      <c r="O24" s="31">
        <v>22.6</v>
      </c>
      <c r="P24" s="31">
        <v>7.7</v>
      </c>
      <c r="Q24" s="58">
        <v>0</v>
      </c>
      <c r="R24" s="58">
        <v>0</v>
      </c>
      <c r="S24" s="31">
        <v>3</v>
      </c>
      <c r="T24" s="29">
        <v>0.66</v>
      </c>
    </row>
    <row r="25" spans="1:20" s="6" customFormat="1" ht="11.25" customHeight="1">
      <c r="A25" s="59" t="s">
        <v>30</v>
      </c>
      <c r="B25" s="167" t="s">
        <v>43</v>
      </c>
      <c r="C25" s="167"/>
      <c r="D25" s="24">
        <v>40</v>
      </c>
      <c r="E25" s="23">
        <v>1.88</v>
      </c>
      <c r="F25" s="23">
        <f>2.64*D25/40</f>
        <v>2.64</v>
      </c>
      <c r="G25" s="23">
        <f>0.48*D25/40</f>
        <v>0.48</v>
      </c>
      <c r="H25" s="23">
        <f>13.68*D25/40</f>
        <v>13.680000000000001</v>
      </c>
      <c r="I25" s="23">
        <f>F25*4+G25*9+H25*4</f>
        <v>69.600000000000009</v>
      </c>
      <c r="J25" s="26">
        <f>0.08*D25/40</f>
        <v>0.08</v>
      </c>
      <c r="K25" s="23">
        <f>0.04*D25/40</f>
        <v>0.04</v>
      </c>
      <c r="L25" s="24">
        <v>0</v>
      </c>
      <c r="M25" s="24">
        <v>0</v>
      </c>
      <c r="N25" s="23">
        <f>2.4*D25/40</f>
        <v>2.4</v>
      </c>
      <c r="O25" s="23">
        <f>14*D25/40</f>
        <v>14</v>
      </c>
      <c r="P25" s="23">
        <f>63.2*D25/40</f>
        <v>63.2</v>
      </c>
      <c r="Q25" s="23">
        <f>1.2*D25/40</f>
        <v>1.2</v>
      </c>
      <c r="R25" s="25">
        <f>0.001*D25/40</f>
        <v>1E-3</v>
      </c>
      <c r="S25" s="23">
        <f>9.4*D25/40</f>
        <v>9.4</v>
      </c>
      <c r="T25" s="26">
        <f>0.78*D25/40</f>
        <v>0.78</v>
      </c>
    </row>
    <row r="26" spans="1:20" s="6" customFormat="1" ht="11.25" customHeight="1">
      <c r="A26" s="59" t="s">
        <v>30</v>
      </c>
      <c r="B26" s="167" t="s">
        <v>44</v>
      </c>
      <c r="C26" s="167"/>
      <c r="D26" s="24">
        <v>130</v>
      </c>
      <c r="E26" s="23">
        <v>32.9</v>
      </c>
      <c r="F26" s="29">
        <v>0.9</v>
      </c>
      <c r="G26" s="30">
        <v>0.2</v>
      </c>
      <c r="H26" s="31">
        <v>8.1</v>
      </c>
      <c r="I26" s="29">
        <v>136.6</v>
      </c>
      <c r="J26" s="29">
        <v>0.04</v>
      </c>
      <c r="K26" s="29">
        <v>0.03</v>
      </c>
      <c r="L26" s="29">
        <v>60</v>
      </c>
      <c r="M26" s="29">
        <v>0</v>
      </c>
      <c r="N26" s="30">
        <v>0.2</v>
      </c>
      <c r="O26" s="29">
        <v>34</v>
      </c>
      <c r="P26" s="29">
        <v>23</v>
      </c>
      <c r="Q26" s="57">
        <v>0.2</v>
      </c>
      <c r="R26" s="29">
        <v>0</v>
      </c>
      <c r="S26" s="29">
        <v>15</v>
      </c>
      <c r="T26" s="29">
        <v>0.3</v>
      </c>
    </row>
    <row r="27" spans="1:20" s="9" customFormat="1" ht="11.25" customHeight="1">
      <c r="A27" s="38" t="s">
        <v>45</v>
      </c>
      <c r="B27" s="38"/>
      <c r="C27" s="38"/>
      <c r="D27" s="38">
        <f>SUM(D20:D26)</f>
        <v>690</v>
      </c>
      <c r="E27" s="40">
        <f>SUM(E20:E26)</f>
        <v>90</v>
      </c>
      <c r="F27" s="41">
        <f t="shared" ref="F27:T27" si="2">SUM(F20:F25)</f>
        <v>30.26</v>
      </c>
      <c r="G27" s="41">
        <f t="shared" si="2"/>
        <v>20.756</v>
      </c>
      <c r="H27" s="41">
        <f t="shared" si="2"/>
        <v>114.51</v>
      </c>
      <c r="I27" s="42">
        <f t="shared" si="2"/>
        <v>765.97200000000009</v>
      </c>
      <c r="J27" s="41">
        <f t="shared" si="2"/>
        <v>0.58799999999999997</v>
      </c>
      <c r="K27" s="41">
        <f t="shared" si="2"/>
        <v>0.46599999999999997</v>
      </c>
      <c r="L27" s="41">
        <f t="shared" si="2"/>
        <v>51.36</v>
      </c>
      <c r="M27" s="41">
        <f t="shared" si="2"/>
        <v>0.308</v>
      </c>
      <c r="N27" s="41">
        <f t="shared" si="2"/>
        <v>4.4779999999999998</v>
      </c>
      <c r="O27" s="41">
        <f t="shared" si="2"/>
        <v>208.60599999999999</v>
      </c>
      <c r="P27" s="41">
        <f t="shared" si="2"/>
        <v>513.27199999999993</v>
      </c>
      <c r="Q27" s="41">
        <f t="shared" si="2"/>
        <v>5.7729999999999997</v>
      </c>
      <c r="R27" s="43">
        <f t="shared" si="2"/>
        <v>4.7E-2</v>
      </c>
      <c r="S27" s="41">
        <f t="shared" si="2"/>
        <v>112.55400000000002</v>
      </c>
      <c r="T27" s="41">
        <f t="shared" si="2"/>
        <v>6.0320000000000009</v>
      </c>
    </row>
    <row r="28" spans="1:20" s="9" customFormat="1" ht="11.25" customHeight="1">
      <c r="A28" s="171" t="s">
        <v>35</v>
      </c>
      <c r="B28" s="171"/>
      <c r="C28" s="171"/>
      <c r="D28" s="171"/>
      <c r="E28" s="44"/>
      <c r="F28" s="45">
        <f t="shared" ref="F28:T28" si="3">F27/F36</f>
        <v>0.33622222222222226</v>
      </c>
      <c r="G28" s="46">
        <f t="shared" si="3"/>
        <v>0.22560869565217392</v>
      </c>
      <c r="H28" s="46">
        <f t="shared" si="3"/>
        <v>0.29898172323759792</v>
      </c>
      <c r="I28" s="46">
        <f t="shared" si="3"/>
        <v>0.2816073529411765</v>
      </c>
      <c r="J28" s="46">
        <f t="shared" si="3"/>
        <v>0.42</v>
      </c>
      <c r="K28" s="46">
        <f t="shared" si="3"/>
        <v>0.29124999999999995</v>
      </c>
      <c r="L28" s="46">
        <f t="shared" si="3"/>
        <v>0.73371428571428565</v>
      </c>
      <c r="M28" s="46">
        <f t="shared" si="3"/>
        <v>0.34222222222222221</v>
      </c>
      <c r="N28" s="46">
        <f t="shared" si="3"/>
        <v>0.37316666666666665</v>
      </c>
      <c r="O28" s="46">
        <f t="shared" si="3"/>
        <v>0.17383833333333332</v>
      </c>
      <c r="P28" s="46">
        <f t="shared" si="3"/>
        <v>0.42772666666666659</v>
      </c>
      <c r="Q28" s="46">
        <f t="shared" si="3"/>
        <v>0.41235714285714281</v>
      </c>
      <c r="R28" s="46">
        <f t="shared" si="3"/>
        <v>0.47</v>
      </c>
      <c r="S28" s="46">
        <f t="shared" si="3"/>
        <v>0.37518000000000007</v>
      </c>
      <c r="T28" s="46">
        <f t="shared" si="3"/>
        <v>0.33511111111111114</v>
      </c>
    </row>
    <row r="29" spans="1:20" s="9" customFormat="1" ht="11.25" customHeight="1">
      <c r="A29" s="60"/>
      <c r="B29" s="48"/>
      <c r="C29" s="48"/>
      <c r="D29" s="49"/>
      <c r="E29" s="44"/>
      <c r="F29" s="50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s="9" customFormat="1" ht="11.25" customHeight="1">
      <c r="A30" s="176" t="s">
        <v>46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0" s="9" customFormat="1" ht="16.899999999999999" customHeight="1">
      <c r="A31" s="17"/>
      <c r="B31" s="167" t="s">
        <v>47</v>
      </c>
      <c r="C31" s="167"/>
      <c r="D31" s="24">
        <v>80</v>
      </c>
      <c r="E31" s="23">
        <v>26.7</v>
      </c>
      <c r="F31" s="23">
        <f>0.39*D31/60</f>
        <v>0.52</v>
      </c>
      <c r="G31" s="23">
        <f>0.18*D31/60</f>
        <v>0.23999999999999996</v>
      </c>
      <c r="H31" s="23">
        <f>5.37*D31/60</f>
        <v>7.16</v>
      </c>
      <c r="I31" s="23">
        <f>F31*4+G31*9+H31*4</f>
        <v>32.880000000000003</v>
      </c>
      <c r="J31" s="25">
        <f>0.02*D31/60</f>
        <v>2.6666666666666668E-2</v>
      </c>
      <c r="K31" s="23">
        <f>0.02*D31/60</f>
        <v>2.6666666666666668E-2</v>
      </c>
      <c r="L31" s="23">
        <f>22.95*D31/60</f>
        <v>30.6</v>
      </c>
      <c r="M31" s="25">
        <f>0.02*D31/60</f>
        <v>2.6666666666666668E-2</v>
      </c>
      <c r="N31" s="26">
        <f>0.6*D31/60</f>
        <v>0.8</v>
      </c>
      <c r="O31" s="61">
        <f>15*D31/60</f>
        <v>20</v>
      </c>
      <c r="P31" s="23">
        <f>10.2*D31/60</f>
        <v>13.6</v>
      </c>
      <c r="Q31" s="23">
        <f>0.13*D31/60</f>
        <v>0.17333333333333334</v>
      </c>
      <c r="R31" s="25">
        <f>0.001*D31/60</f>
        <v>1.3333333333333333E-3</v>
      </c>
      <c r="S31" s="23">
        <f>6.6*D31/60</f>
        <v>8.8000000000000007</v>
      </c>
      <c r="T31" s="23">
        <f>0.75*D31/60</f>
        <v>1</v>
      </c>
    </row>
    <row r="32" spans="1:20" s="6" customFormat="1" ht="12.75" customHeight="1">
      <c r="A32" s="34">
        <v>377</v>
      </c>
      <c r="B32" s="166" t="s">
        <v>48</v>
      </c>
      <c r="C32" s="166"/>
      <c r="D32" s="58">
        <v>200</v>
      </c>
      <c r="E32" s="29">
        <v>3.3</v>
      </c>
      <c r="F32" s="132">
        <v>0.26</v>
      </c>
      <c r="G32" s="132">
        <v>0.06</v>
      </c>
      <c r="H32" s="132">
        <v>15.22</v>
      </c>
      <c r="I32" s="132">
        <v>62.46</v>
      </c>
      <c r="J32" s="132">
        <v>0</v>
      </c>
      <c r="K32" s="132">
        <v>0.01</v>
      </c>
      <c r="L32" s="132">
        <v>2.9</v>
      </c>
      <c r="M32" s="133">
        <v>0</v>
      </c>
      <c r="N32" s="132">
        <v>0.06</v>
      </c>
      <c r="O32" s="132">
        <v>8.0500000000000007</v>
      </c>
      <c r="P32" s="132">
        <v>9.7799999999999994</v>
      </c>
      <c r="Q32" s="132">
        <v>1.7000000000000001E-2</v>
      </c>
      <c r="R32" s="136">
        <v>0</v>
      </c>
      <c r="S32" s="132">
        <v>5.24</v>
      </c>
      <c r="T32" s="132">
        <v>0.87</v>
      </c>
    </row>
    <row r="33" spans="1:20" s="9" customFormat="1" ht="11.25" customHeight="1">
      <c r="A33" s="62" t="s">
        <v>49</v>
      </c>
      <c r="B33" s="63"/>
      <c r="C33" s="63"/>
      <c r="D33" s="39">
        <f t="shared" ref="D33:T33" si="4">SUM(D31:D32)</f>
        <v>280</v>
      </c>
      <c r="E33" s="40">
        <f t="shared" si="4"/>
        <v>30</v>
      </c>
      <c r="F33" s="40">
        <f t="shared" si="4"/>
        <v>0.78</v>
      </c>
      <c r="G33" s="40">
        <f t="shared" si="4"/>
        <v>0.29999999999999993</v>
      </c>
      <c r="H33" s="40">
        <f t="shared" si="4"/>
        <v>22.380000000000003</v>
      </c>
      <c r="I33" s="40">
        <f t="shared" si="4"/>
        <v>95.34</v>
      </c>
      <c r="J33" s="40">
        <f t="shared" si="4"/>
        <v>2.6666666666666668E-2</v>
      </c>
      <c r="K33" s="40">
        <f t="shared" si="4"/>
        <v>3.6666666666666667E-2</v>
      </c>
      <c r="L33" s="40">
        <f t="shared" si="4"/>
        <v>33.5</v>
      </c>
      <c r="M33" s="40">
        <f t="shared" si="4"/>
        <v>2.6666666666666668E-2</v>
      </c>
      <c r="N33" s="40">
        <f t="shared" si="4"/>
        <v>0.8600000000000001</v>
      </c>
      <c r="O33" s="40">
        <f t="shared" si="4"/>
        <v>28.05</v>
      </c>
      <c r="P33" s="40">
        <f t="shared" si="4"/>
        <v>23.38</v>
      </c>
      <c r="Q33" s="40">
        <f t="shared" si="4"/>
        <v>0.19033333333333335</v>
      </c>
      <c r="R33" s="40">
        <f t="shared" si="4"/>
        <v>1.3333333333333333E-3</v>
      </c>
      <c r="S33" s="40">
        <f t="shared" si="4"/>
        <v>14.040000000000001</v>
      </c>
      <c r="T33" s="40">
        <f t="shared" si="4"/>
        <v>1.87</v>
      </c>
    </row>
    <row r="34" spans="1:20" s="9" customFormat="1" ht="11.25" customHeight="1">
      <c r="A34" s="171" t="s">
        <v>35</v>
      </c>
      <c r="B34" s="171"/>
      <c r="C34" s="171"/>
      <c r="D34" s="171"/>
      <c r="E34" s="64"/>
      <c r="F34" s="65">
        <f t="shared" ref="F34:T34" si="5">F33/F36</f>
        <v>8.6666666666666663E-3</v>
      </c>
      <c r="G34" s="46">
        <f t="shared" si="5"/>
        <v>3.2608695652173907E-3</v>
      </c>
      <c r="H34" s="46">
        <f t="shared" si="5"/>
        <v>5.8433420365535255E-2</v>
      </c>
      <c r="I34" s="46">
        <f t="shared" si="5"/>
        <v>3.5051470588235295E-2</v>
      </c>
      <c r="J34" s="46">
        <f t="shared" si="5"/>
        <v>1.9047619047619049E-2</v>
      </c>
      <c r="K34" s="46">
        <f t="shared" si="5"/>
        <v>2.2916666666666665E-2</v>
      </c>
      <c r="L34" s="46">
        <f t="shared" si="5"/>
        <v>0.47857142857142859</v>
      </c>
      <c r="M34" s="46">
        <f t="shared" si="5"/>
        <v>2.9629629629629631E-2</v>
      </c>
      <c r="N34" s="46">
        <f t="shared" si="5"/>
        <v>7.166666666666667E-2</v>
      </c>
      <c r="O34" s="46">
        <f t="shared" si="5"/>
        <v>2.3375E-2</v>
      </c>
      <c r="P34" s="46">
        <f t="shared" si="5"/>
        <v>1.9483333333333332E-2</v>
      </c>
      <c r="Q34" s="46">
        <f t="shared" si="5"/>
        <v>1.3595238095238096E-2</v>
      </c>
      <c r="R34" s="46">
        <f t="shared" si="5"/>
        <v>1.3333333333333332E-2</v>
      </c>
      <c r="S34" s="46">
        <f t="shared" si="5"/>
        <v>4.6800000000000001E-2</v>
      </c>
      <c r="T34" s="46">
        <f t="shared" si="5"/>
        <v>0.10388888888888889</v>
      </c>
    </row>
    <row r="35" spans="1:20" s="9" customFormat="1" ht="11.25" customHeight="1">
      <c r="A35" s="171" t="s">
        <v>50</v>
      </c>
      <c r="B35" s="171"/>
      <c r="C35" s="171"/>
      <c r="D35" s="171"/>
      <c r="E35" s="44"/>
      <c r="F35" s="41">
        <f t="shared" ref="F35:T35" si="6">SUM(F16,F27,F33)</f>
        <v>40.980000000000004</v>
      </c>
      <c r="G35" s="42">
        <f t="shared" si="6"/>
        <v>35.396000000000001</v>
      </c>
      <c r="H35" s="42">
        <f t="shared" si="6"/>
        <v>206.84</v>
      </c>
      <c r="I35" s="42">
        <f t="shared" si="6"/>
        <v>1213.442</v>
      </c>
      <c r="J35" s="41">
        <f t="shared" si="6"/>
        <v>2.3996666666666666</v>
      </c>
      <c r="K35" s="41">
        <f t="shared" si="6"/>
        <v>2.4966666666666666</v>
      </c>
      <c r="L35" s="41">
        <f t="shared" si="6"/>
        <v>89.84</v>
      </c>
      <c r="M35" s="41">
        <f t="shared" si="6"/>
        <v>26.799666666666671</v>
      </c>
      <c r="N35" s="41">
        <f t="shared" si="6"/>
        <v>8.0380000000000003</v>
      </c>
      <c r="O35" s="41">
        <f t="shared" si="6"/>
        <v>318.60600000000005</v>
      </c>
      <c r="P35" s="42">
        <f t="shared" si="6"/>
        <v>706.13199999999995</v>
      </c>
      <c r="Q35" s="43">
        <f t="shared" si="6"/>
        <v>8.6503333333333323</v>
      </c>
      <c r="R35" s="43">
        <f t="shared" si="6"/>
        <v>1.7543333333333333</v>
      </c>
      <c r="S35" s="41">
        <f t="shared" si="6"/>
        <v>176.45400000000001</v>
      </c>
      <c r="T35" s="41">
        <f t="shared" si="6"/>
        <v>11.464000000000002</v>
      </c>
    </row>
    <row r="36" spans="1:20" s="9" customFormat="1" ht="11.25" customHeight="1">
      <c r="A36" s="171" t="s">
        <v>51</v>
      </c>
      <c r="B36" s="171"/>
      <c r="C36" s="171"/>
      <c r="D36" s="171"/>
      <c r="E36" s="44"/>
      <c r="F36" s="23">
        <v>90</v>
      </c>
      <c r="G36" s="61">
        <v>92</v>
      </c>
      <c r="H36" s="61">
        <v>383</v>
      </c>
      <c r="I36" s="61">
        <v>2720</v>
      </c>
      <c r="J36" s="23">
        <v>1.4</v>
      </c>
      <c r="K36" s="23">
        <v>1.6</v>
      </c>
      <c r="L36" s="24">
        <v>70</v>
      </c>
      <c r="M36" s="23">
        <v>0.9</v>
      </c>
      <c r="N36" s="24">
        <v>12</v>
      </c>
      <c r="O36" s="24">
        <v>1200</v>
      </c>
      <c r="P36" s="24">
        <v>1200</v>
      </c>
      <c r="Q36" s="24">
        <v>14</v>
      </c>
      <c r="R36" s="61">
        <v>0.1</v>
      </c>
      <c r="S36" s="24">
        <v>300</v>
      </c>
      <c r="T36" s="23">
        <v>18</v>
      </c>
    </row>
    <row r="37" spans="1:20" s="9" customFormat="1" ht="11.25" customHeight="1">
      <c r="A37" s="171" t="s">
        <v>35</v>
      </c>
      <c r="B37" s="171"/>
      <c r="C37" s="171"/>
      <c r="D37" s="171"/>
      <c r="E37" s="44"/>
      <c r="F37" s="66">
        <f t="shared" ref="F37:T37" si="7">F35/F36</f>
        <v>0.45533333333333337</v>
      </c>
      <c r="G37" s="46">
        <f t="shared" si="7"/>
        <v>0.38473913043478264</v>
      </c>
      <c r="H37" s="67">
        <f t="shared" si="7"/>
        <v>0.54005221932114889</v>
      </c>
      <c r="I37" s="67">
        <f t="shared" si="7"/>
        <v>0.44611838235294116</v>
      </c>
      <c r="J37" s="67">
        <f t="shared" si="7"/>
        <v>1.714047619047619</v>
      </c>
      <c r="K37" s="67">
        <f t="shared" si="7"/>
        <v>1.5604166666666666</v>
      </c>
      <c r="L37" s="67">
        <f t="shared" si="7"/>
        <v>1.2834285714285716</v>
      </c>
      <c r="M37" s="68">
        <f t="shared" si="7"/>
        <v>29.777407407407409</v>
      </c>
      <c r="N37" s="67">
        <f t="shared" si="7"/>
        <v>0.66983333333333339</v>
      </c>
      <c r="O37" s="67">
        <f t="shared" si="7"/>
        <v>0.26550500000000005</v>
      </c>
      <c r="P37" s="67">
        <f t="shared" si="7"/>
        <v>0.58844333333333332</v>
      </c>
      <c r="Q37" s="67">
        <f t="shared" si="7"/>
        <v>0.61788095238095231</v>
      </c>
      <c r="R37" s="67">
        <f t="shared" si="7"/>
        <v>17.543333333333333</v>
      </c>
      <c r="S37" s="67">
        <f t="shared" si="7"/>
        <v>0.58818000000000004</v>
      </c>
      <c r="T37" s="68">
        <f t="shared" si="7"/>
        <v>0.63688888888888906</v>
      </c>
    </row>
    <row r="38" spans="1:20" s="9" customFormat="1" ht="11.25" customHeight="1">
      <c r="A38" s="5"/>
      <c r="B38" s="5"/>
      <c r="C38" s="69"/>
      <c r="D38" s="69"/>
      <c r="E38" s="70"/>
      <c r="F38" s="11"/>
      <c r="G38" s="6"/>
      <c r="H38" s="8"/>
      <c r="I38" s="8"/>
      <c r="J38" s="6"/>
      <c r="K38" s="6"/>
      <c r="L38" s="6"/>
      <c r="M38" s="160" t="s">
        <v>0</v>
      </c>
      <c r="N38" s="160"/>
      <c r="O38" s="160"/>
      <c r="P38" s="160"/>
      <c r="Q38" s="160"/>
      <c r="R38" s="160"/>
      <c r="S38" s="160"/>
      <c r="T38" s="160"/>
    </row>
    <row r="39" spans="1:20" s="9" customFormat="1" ht="11.25" customHeight="1">
      <c r="A39" s="180" t="s">
        <v>52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</row>
    <row r="40" spans="1:20" s="9" customFormat="1" ht="11.25" customHeight="1">
      <c r="A40" s="10" t="s">
        <v>2</v>
      </c>
      <c r="B40" s="5"/>
      <c r="C40" s="5"/>
      <c r="D40" s="8"/>
      <c r="E40" s="11"/>
      <c r="F40" s="7"/>
      <c r="G40" s="162" t="s">
        <v>70</v>
      </c>
      <c r="H40" s="162"/>
      <c r="I40" s="162"/>
      <c r="J40" s="6"/>
      <c r="K40" s="6"/>
      <c r="L40" s="163"/>
      <c r="M40" s="163"/>
      <c r="N40" s="164"/>
      <c r="O40" s="164"/>
      <c r="P40" s="164"/>
      <c r="Q40" s="164"/>
      <c r="R40" s="6"/>
      <c r="S40" s="6"/>
      <c r="T40" s="6"/>
    </row>
    <row r="41" spans="1:20" s="9" customFormat="1" ht="11.25" customHeight="1">
      <c r="A41" s="5"/>
      <c r="B41" s="5"/>
      <c r="C41" s="5"/>
      <c r="D41" s="163" t="s">
        <v>4</v>
      </c>
      <c r="E41" s="163"/>
      <c r="F41" s="163"/>
      <c r="G41" s="12">
        <v>1</v>
      </c>
      <c r="H41" s="6"/>
      <c r="I41" s="8"/>
      <c r="J41" s="8"/>
      <c r="K41" s="8"/>
      <c r="L41" s="163"/>
      <c r="M41" s="163"/>
      <c r="N41" s="162"/>
      <c r="O41" s="162"/>
      <c r="P41" s="162"/>
      <c r="Q41" s="162"/>
      <c r="R41" s="162"/>
      <c r="S41" s="162"/>
      <c r="T41" s="162"/>
    </row>
    <row r="42" spans="1:20" s="9" customFormat="1" ht="21.75" customHeight="1">
      <c r="A42" s="165" t="s">
        <v>54</v>
      </c>
      <c r="B42" s="165" t="s">
        <v>55</v>
      </c>
      <c r="C42" s="165"/>
      <c r="D42" s="165" t="s">
        <v>7</v>
      </c>
      <c r="E42" s="14"/>
      <c r="F42" s="165" t="s">
        <v>8</v>
      </c>
      <c r="G42" s="165"/>
      <c r="H42" s="165"/>
      <c r="I42" s="165" t="s">
        <v>9</v>
      </c>
      <c r="J42" s="165" t="s">
        <v>10</v>
      </c>
      <c r="K42" s="165"/>
      <c r="L42" s="165"/>
      <c r="M42" s="165"/>
      <c r="N42" s="165"/>
      <c r="O42" s="165" t="s">
        <v>11</v>
      </c>
      <c r="P42" s="165"/>
      <c r="Q42" s="165"/>
      <c r="R42" s="165"/>
      <c r="S42" s="165"/>
      <c r="T42" s="165"/>
    </row>
    <row r="43" spans="1:20" s="9" customFormat="1" ht="21" customHeight="1">
      <c r="A43" s="165"/>
      <c r="B43" s="165"/>
      <c r="C43" s="165"/>
      <c r="D43" s="165"/>
      <c r="E43" s="15"/>
      <c r="F43" s="16" t="s">
        <v>12</v>
      </c>
      <c r="G43" s="13" t="s">
        <v>13</v>
      </c>
      <c r="H43" s="13" t="s">
        <v>14</v>
      </c>
      <c r="I43" s="165"/>
      <c r="J43" s="13" t="s">
        <v>15</v>
      </c>
      <c r="K43" s="13" t="s">
        <v>16</v>
      </c>
      <c r="L43" s="13" t="s">
        <v>17</v>
      </c>
      <c r="M43" s="13" t="s">
        <v>18</v>
      </c>
      <c r="N43" s="13" t="s">
        <v>19</v>
      </c>
      <c r="O43" s="13" t="s">
        <v>20</v>
      </c>
      <c r="P43" s="13" t="s">
        <v>21</v>
      </c>
      <c r="Q43" s="13" t="s">
        <v>22</v>
      </c>
      <c r="R43" s="13" t="s">
        <v>23</v>
      </c>
      <c r="S43" s="13" t="s">
        <v>24</v>
      </c>
      <c r="T43" s="13" t="s">
        <v>25</v>
      </c>
    </row>
    <row r="44" spans="1:20" s="9" customFormat="1" ht="11.25" customHeight="1">
      <c r="A44" s="17">
        <v>1</v>
      </c>
      <c r="B44" s="175">
        <v>2</v>
      </c>
      <c r="C44" s="175"/>
      <c r="D44" s="18">
        <v>3</v>
      </c>
      <c r="E44" s="19"/>
      <c r="F44" s="19">
        <v>4</v>
      </c>
      <c r="G44" s="18">
        <v>5</v>
      </c>
      <c r="H44" s="18">
        <v>6</v>
      </c>
      <c r="I44" s="18">
        <v>7</v>
      </c>
      <c r="J44" s="18">
        <v>8</v>
      </c>
      <c r="K44" s="18">
        <v>9</v>
      </c>
      <c r="L44" s="18">
        <v>10</v>
      </c>
      <c r="M44" s="18">
        <v>11</v>
      </c>
      <c r="N44" s="18">
        <v>12</v>
      </c>
      <c r="O44" s="18">
        <v>13</v>
      </c>
      <c r="P44" s="18">
        <v>14</v>
      </c>
      <c r="Q44" s="18">
        <v>15</v>
      </c>
      <c r="R44" s="18">
        <v>16</v>
      </c>
      <c r="S44" s="18">
        <v>17</v>
      </c>
      <c r="T44" s="18">
        <v>18</v>
      </c>
    </row>
    <row r="45" spans="1:20" s="9" customFormat="1" ht="11.25" customHeight="1">
      <c r="A45" s="176" t="s">
        <v>56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</row>
    <row r="46" spans="1:20" s="6" customFormat="1" ht="20.25" customHeight="1">
      <c r="A46" s="20">
        <v>15</v>
      </c>
      <c r="B46" s="170" t="s">
        <v>27</v>
      </c>
      <c r="C46" s="170"/>
      <c r="D46" s="21" t="s">
        <v>28</v>
      </c>
      <c r="E46" s="22">
        <v>9.5</v>
      </c>
      <c r="F46" s="23">
        <v>0.46</v>
      </c>
      <c r="G46" s="23">
        <v>0.68</v>
      </c>
      <c r="H46" s="23">
        <v>0</v>
      </c>
      <c r="I46" s="23">
        <v>7.98</v>
      </c>
      <c r="J46" s="23">
        <v>0</v>
      </c>
      <c r="K46" s="23">
        <v>0.01</v>
      </c>
      <c r="L46" s="24">
        <v>0.01</v>
      </c>
      <c r="M46" s="24">
        <v>5.0000000000000001E-3</v>
      </c>
      <c r="N46" s="23">
        <v>0.01</v>
      </c>
      <c r="O46" s="23">
        <v>17.600000000000001</v>
      </c>
      <c r="P46" s="23">
        <v>10</v>
      </c>
      <c r="Q46" s="24">
        <v>0.08</v>
      </c>
      <c r="R46" s="24">
        <v>4.0000000000000001E-3</v>
      </c>
      <c r="S46" s="23">
        <v>0.7</v>
      </c>
      <c r="T46" s="23">
        <v>0.03</v>
      </c>
    </row>
    <row r="47" spans="1:20" s="6" customFormat="1" ht="21.75" customHeight="1">
      <c r="A47" s="17">
        <v>173</v>
      </c>
      <c r="B47" s="167" t="s">
        <v>29</v>
      </c>
      <c r="C47" s="167"/>
      <c r="D47" s="24">
        <v>200</v>
      </c>
      <c r="E47" s="23">
        <v>21.54</v>
      </c>
      <c r="F47" s="23">
        <f>7.23*D47/200</f>
        <v>7.23</v>
      </c>
      <c r="G47" s="23">
        <f>9.81*D47/200</f>
        <v>9.81</v>
      </c>
      <c r="H47" s="23">
        <f>28.8*D47/200</f>
        <v>28.8</v>
      </c>
      <c r="I47" s="23">
        <f>F47*4+G47*9+H47*4</f>
        <v>232.41000000000003</v>
      </c>
      <c r="J47" s="23">
        <f>0.22*D47/200</f>
        <v>0.22</v>
      </c>
      <c r="K47" s="23">
        <f>0.2*D47/200</f>
        <v>0.2</v>
      </c>
      <c r="L47" s="23">
        <f>1.3*D47/200</f>
        <v>1.3</v>
      </c>
      <c r="M47" s="25">
        <f>0.08*D47/200</f>
        <v>0.08</v>
      </c>
      <c r="N47" s="26">
        <v>0</v>
      </c>
      <c r="O47" s="23">
        <f>142.58*D47/200</f>
        <v>142.58000000000001</v>
      </c>
      <c r="P47" s="23">
        <f>222.38*D47/200</f>
        <v>222.38</v>
      </c>
      <c r="Q47" s="24">
        <v>0</v>
      </c>
      <c r="R47" s="25">
        <f>0.001*D47/200</f>
        <v>1E-3</v>
      </c>
      <c r="S47" s="23">
        <f>65.69*D47/200</f>
        <v>65.69</v>
      </c>
      <c r="T47" s="23">
        <f>1.53*D47/200</f>
        <v>1.53</v>
      </c>
    </row>
    <row r="48" spans="1:20" s="6" customFormat="1" ht="12.75" customHeight="1">
      <c r="A48" s="135">
        <v>377</v>
      </c>
      <c r="B48" s="172" t="s">
        <v>48</v>
      </c>
      <c r="C48" s="172"/>
      <c r="D48" s="137">
        <v>200</v>
      </c>
      <c r="E48" s="132">
        <v>3.3</v>
      </c>
      <c r="F48" s="132">
        <v>0.26</v>
      </c>
      <c r="G48" s="132">
        <v>0.06</v>
      </c>
      <c r="H48" s="132">
        <v>15.22</v>
      </c>
      <c r="I48" s="132">
        <v>62.46</v>
      </c>
      <c r="J48" s="132">
        <v>0</v>
      </c>
      <c r="K48" s="132">
        <v>0.01</v>
      </c>
      <c r="L48" s="132">
        <v>2.9</v>
      </c>
      <c r="M48" s="133">
        <v>0</v>
      </c>
      <c r="N48" s="132">
        <v>0.06</v>
      </c>
      <c r="O48" s="132">
        <v>8.0500000000000007</v>
      </c>
      <c r="P48" s="132">
        <v>9.7799999999999994</v>
      </c>
      <c r="Q48" s="132">
        <v>1.7000000000000001E-2</v>
      </c>
      <c r="R48" s="136">
        <v>0</v>
      </c>
      <c r="S48" s="132">
        <v>5.24</v>
      </c>
      <c r="T48" s="132">
        <v>0.87</v>
      </c>
    </row>
    <row r="49" spans="1:20" s="6" customFormat="1" ht="11.25" customHeight="1">
      <c r="A49" s="59" t="s">
        <v>30</v>
      </c>
      <c r="B49" s="167" t="s">
        <v>44</v>
      </c>
      <c r="C49" s="167"/>
      <c r="D49" s="24">
        <v>130</v>
      </c>
      <c r="E49" s="23">
        <v>32.950000000000003</v>
      </c>
      <c r="F49" s="29">
        <v>0.9</v>
      </c>
      <c r="G49" s="30">
        <v>0.2</v>
      </c>
      <c r="H49" s="31">
        <v>8.1</v>
      </c>
      <c r="I49" s="29">
        <v>136.6</v>
      </c>
      <c r="J49" s="29">
        <v>0.04</v>
      </c>
      <c r="K49" s="29">
        <v>0.03</v>
      </c>
      <c r="L49" s="29">
        <v>60</v>
      </c>
      <c r="M49" s="29">
        <v>0</v>
      </c>
      <c r="N49" s="30">
        <v>0.2</v>
      </c>
      <c r="O49" s="29">
        <v>34</v>
      </c>
      <c r="P49" s="29">
        <v>23</v>
      </c>
      <c r="Q49" s="57">
        <v>0.2</v>
      </c>
      <c r="R49" s="29">
        <v>0</v>
      </c>
      <c r="S49" s="29">
        <v>15</v>
      </c>
      <c r="T49" s="29">
        <v>0.3</v>
      </c>
    </row>
    <row r="50" spans="1:20" s="6" customFormat="1" ht="11.25" customHeight="1">
      <c r="A50" s="27" t="s">
        <v>30</v>
      </c>
      <c r="B50" s="173" t="s">
        <v>31</v>
      </c>
      <c r="C50" s="173"/>
      <c r="D50" s="28" t="s">
        <v>32</v>
      </c>
      <c r="E50" s="23"/>
      <c r="F50" s="33">
        <v>5.6</v>
      </c>
      <c r="G50" s="34">
        <v>6.4</v>
      </c>
      <c r="H50" s="35">
        <v>9.4</v>
      </c>
      <c r="I50" s="33">
        <v>117.6</v>
      </c>
      <c r="J50" s="33">
        <v>0.08</v>
      </c>
      <c r="K50" s="33">
        <v>0.307</v>
      </c>
      <c r="L50" s="33">
        <v>2.6</v>
      </c>
      <c r="M50" s="33">
        <v>6.7000000000000004E-2</v>
      </c>
      <c r="N50" s="34">
        <v>0.29199999999999998</v>
      </c>
      <c r="O50" s="33">
        <v>240</v>
      </c>
      <c r="P50" s="33">
        <v>180</v>
      </c>
      <c r="Q50" s="36">
        <v>0.8</v>
      </c>
      <c r="R50" s="33">
        <v>1.7999999999999999E-2</v>
      </c>
      <c r="S50" s="33">
        <v>28</v>
      </c>
      <c r="T50" s="33">
        <v>0.12</v>
      </c>
    </row>
    <row r="51" spans="1:20" s="6" customFormat="1" ht="12" customHeight="1">
      <c r="A51" s="207" t="s">
        <v>34</v>
      </c>
      <c r="B51" s="208"/>
      <c r="C51" s="209"/>
      <c r="D51" s="38">
        <v>775</v>
      </c>
      <c r="E51" s="40">
        <f t="shared" ref="E51:T51" si="8">SUM(E46:E49)</f>
        <v>67.289999999999992</v>
      </c>
      <c r="F51" s="41">
        <f t="shared" si="8"/>
        <v>8.85</v>
      </c>
      <c r="G51" s="42">
        <f t="shared" si="8"/>
        <v>10.75</v>
      </c>
      <c r="H51" s="42">
        <f t="shared" si="8"/>
        <v>52.120000000000005</v>
      </c>
      <c r="I51" s="42">
        <f t="shared" si="8"/>
        <v>439.45000000000005</v>
      </c>
      <c r="J51" s="41">
        <f t="shared" si="8"/>
        <v>0.26</v>
      </c>
      <c r="K51" s="41">
        <f t="shared" si="8"/>
        <v>0.25</v>
      </c>
      <c r="L51" s="41">
        <f t="shared" si="8"/>
        <v>64.209999999999994</v>
      </c>
      <c r="M51" s="41">
        <f t="shared" si="8"/>
        <v>8.5000000000000006E-2</v>
      </c>
      <c r="N51" s="41">
        <f t="shared" si="8"/>
        <v>0.27</v>
      </c>
      <c r="O51" s="41">
        <f t="shared" si="8"/>
        <v>202.23000000000002</v>
      </c>
      <c r="P51" s="41">
        <f t="shared" si="8"/>
        <v>265.15999999999997</v>
      </c>
      <c r="Q51" s="43">
        <f t="shared" si="8"/>
        <v>0.29700000000000004</v>
      </c>
      <c r="R51" s="43">
        <f t="shared" si="8"/>
        <v>5.0000000000000001E-3</v>
      </c>
      <c r="S51" s="42">
        <f t="shared" si="8"/>
        <v>86.63</v>
      </c>
      <c r="T51" s="41">
        <f t="shared" si="8"/>
        <v>2.73</v>
      </c>
    </row>
    <row r="52" spans="1:20" s="6" customFormat="1" ht="12" customHeight="1">
      <c r="A52" s="171" t="s">
        <v>35</v>
      </c>
      <c r="B52" s="171"/>
      <c r="C52" s="171"/>
      <c r="D52" s="171"/>
      <c r="E52" s="64"/>
      <c r="F52" s="65">
        <f t="shared" ref="F52:T52" si="9">F51/F70</f>
        <v>9.8333333333333328E-2</v>
      </c>
      <c r="G52" s="78">
        <f t="shared" si="9"/>
        <v>0.11684782608695653</v>
      </c>
      <c r="H52" s="78">
        <f t="shared" si="9"/>
        <v>0.13608355091383814</v>
      </c>
      <c r="I52" s="78">
        <f t="shared" si="9"/>
        <v>0.16156250000000003</v>
      </c>
      <c r="J52" s="78">
        <f t="shared" si="9"/>
        <v>0.18571428571428572</v>
      </c>
      <c r="K52" s="78">
        <f t="shared" si="9"/>
        <v>0.15625</v>
      </c>
      <c r="L52" s="78">
        <f t="shared" si="9"/>
        <v>0.91728571428571415</v>
      </c>
      <c r="M52" s="78">
        <f t="shared" si="9"/>
        <v>9.4444444444444442E-2</v>
      </c>
      <c r="N52" s="78">
        <f t="shared" si="9"/>
        <v>2.2500000000000003E-2</v>
      </c>
      <c r="O52" s="78">
        <f t="shared" si="9"/>
        <v>0.16852500000000001</v>
      </c>
      <c r="P52" s="78">
        <f t="shared" si="9"/>
        <v>0.22096666666666664</v>
      </c>
      <c r="Q52" s="78">
        <f t="shared" si="9"/>
        <v>2.1214285714285717E-2</v>
      </c>
      <c r="R52" s="78">
        <f t="shared" si="9"/>
        <v>4.9999999999999996E-2</v>
      </c>
      <c r="S52" s="78">
        <f t="shared" si="9"/>
        <v>0.28876666666666667</v>
      </c>
      <c r="T52" s="78">
        <f t="shared" si="9"/>
        <v>0.15166666666666667</v>
      </c>
    </row>
    <row r="53" spans="1:20" s="6" customFormat="1" ht="12" customHeight="1">
      <c r="A53" s="60"/>
      <c r="B53" s="79"/>
      <c r="C53" s="79"/>
      <c r="D53" s="48"/>
      <c r="E53" s="80"/>
      <c r="F53" s="50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s="6" customFormat="1" ht="10.5" customHeight="1">
      <c r="A54" s="176" t="s">
        <v>36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</row>
    <row r="55" spans="1:20" s="6" customFormat="1" ht="13.5" customHeight="1">
      <c r="A55" s="32">
        <v>52</v>
      </c>
      <c r="B55" s="167" t="s">
        <v>61</v>
      </c>
      <c r="C55" s="167"/>
      <c r="D55" s="24">
        <v>60</v>
      </c>
      <c r="E55" s="23">
        <v>3.29</v>
      </c>
      <c r="F55" s="23">
        <f>0.86*D55/60</f>
        <v>0.86</v>
      </c>
      <c r="G55" s="23">
        <f>3.05*D55/60</f>
        <v>3.05</v>
      </c>
      <c r="H55" s="23">
        <f>5.13*D55/60</f>
        <v>5.13</v>
      </c>
      <c r="I55" s="23">
        <f>F55*4+G55*9+H55*4</f>
        <v>51.41</v>
      </c>
      <c r="J55" s="23">
        <f>0.01*D55/60</f>
        <v>0.01</v>
      </c>
      <c r="K55" s="23">
        <f>0.02*D55/60</f>
        <v>0.02</v>
      </c>
      <c r="L55" s="61">
        <f>5.7*D55/60</f>
        <v>5.7</v>
      </c>
      <c r="M55" s="23">
        <f>0.01*D55/60</f>
        <v>0.01</v>
      </c>
      <c r="N55" s="23">
        <f>0.1*D55/60</f>
        <v>0.1</v>
      </c>
      <c r="O55" s="23">
        <f>26.61*D55/60</f>
        <v>26.61</v>
      </c>
      <c r="P55" s="23">
        <f>25.64*D55/60</f>
        <v>25.64</v>
      </c>
      <c r="Q55" s="23">
        <f>0.43*D55/60</f>
        <v>0.43</v>
      </c>
      <c r="R55" s="25">
        <f>0.01*D55/60</f>
        <v>0.01</v>
      </c>
      <c r="S55" s="61">
        <f>12.87*D55/60</f>
        <v>12.87</v>
      </c>
      <c r="T55" s="23">
        <f>0.84*D55/60</f>
        <v>0.84</v>
      </c>
    </row>
    <row r="56" spans="1:20" s="6" customFormat="1" ht="22.5" customHeight="1">
      <c r="A56" s="17">
        <v>103</v>
      </c>
      <c r="B56" s="167" t="s">
        <v>62</v>
      </c>
      <c r="C56" s="167"/>
      <c r="D56" s="26">
        <v>250</v>
      </c>
      <c r="E56" s="23">
        <v>10.81</v>
      </c>
      <c r="F56" s="29">
        <v>2.69</v>
      </c>
      <c r="G56" s="57">
        <v>2.84</v>
      </c>
      <c r="H56" s="57">
        <v>17.14</v>
      </c>
      <c r="I56" s="57">
        <v>104.75</v>
      </c>
      <c r="J56" s="57">
        <v>0.11</v>
      </c>
      <c r="K56" s="57">
        <v>0.21</v>
      </c>
      <c r="L56" s="57">
        <v>8.25</v>
      </c>
      <c r="M56" s="57">
        <v>0</v>
      </c>
      <c r="N56" s="57">
        <v>0.379</v>
      </c>
      <c r="O56" s="57">
        <v>24.6</v>
      </c>
      <c r="P56" s="57">
        <v>66.650000000000006</v>
      </c>
      <c r="Q56" s="57">
        <v>0.13</v>
      </c>
      <c r="R56" s="57">
        <v>1E-3</v>
      </c>
      <c r="S56" s="57">
        <v>27</v>
      </c>
      <c r="T56" s="57">
        <v>1.0900000000000001</v>
      </c>
    </row>
    <row r="57" spans="1:20" s="6" customFormat="1" ht="12" customHeight="1">
      <c r="A57" s="142">
        <v>232</v>
      </c>
      <c r="B57" s="167" t="s">
        <v>122</v>
      </c>
      <c r="C57" s="167"/>
      <c r="D57" s="143">
        <v>75</v>
      </c>
      <c r="E57" s="144">
        <v>26.75</v>
      </c>
      <c r="F57" s="158">
        <v>8.36</v>
      </c>
      <c r="G57" s="158">
        <v>5.35</v>
      </c>
      <c r="H57" s="158">
        <v>10.45</v>
      </c>
      <c r="I57" s="158">
        <v>125.95</v>
      </c>
      <c r="J57" s="158">
        <v>7.0000000000000007E-2</v>
      </c>
      <c r="K57" s="158">
        <v>7.0000000000000007E-2</v>
      </c>
      <c r="L57" s="157">
        <v>0.42</v>
      </c>
      <c r="M57" s="158">
        <v>0</v>
      </c>
      <c r="N57" s="156">
        <v>0</v>
      </c>
      <c r="O57" s="158">
        <v>39.14</v>
      </c>
      <c r="P57" s="158">
        <v>124.85</v>
      </c>
      <c r="Q57" s="158">
        <v>0</v>
      </c>
      <c r="R57" s="159">
        <v>0</v>
      </c>
      <c r="S57" s="158">
        <v>30</v>
      </c>
      <c r="T57" s="158">
        <v>0.74</v>
      </c>
    </row>
    <row r="58" spans="1:20" s="6" customFormat="1" ht="12" customHeight="1">
      <c r="A58" s="129">
        <v>304</v>
      </c>
      <c r="B58" s="177" t="s">
        <v>58</v>
      </c>
      <c r="C58" s="177"/>
      <c r="D58" s="131">
        <v>180</v>
      </c>
      <c r="E58" s="130">
        <v>8.24</v>
      </c>
      <c r="F58" s="145">
        <v>4.4400000000000004</v>
      </c>
      <c r="G58" s="145">
        <v>6.44</v>
      </c>
      <c r="H58" s="145">
        <v>44.015999999999998</v>
      </c>
      <c r="I58" s="145">
        <v>251.82</v>
      </c>
      <c r="J58" s="145">
        <v>3.5999999999999997E-2</v>
      </c>
      <c r="K58" s="145">
        <v>2.4E-2</v>
      </c>
      <c r="L58" s="133">
        <v>0</v>
      </c>
      <c r="M58" s="145">
        <v>4.8000000000000001E-2</v>
      </c>
      <c r="N58" s="133">
        <v>0</v>
      </c>
      <c r="O58" s="147">
        <v>17.928000000000001</v>
      </c>
      <c r="P58" s="147">
        <v>95.256</v>
      </c>
      <c r="Q58" s="137">
        <v>0</v>
      </c>
      <c r="R58" s="138">
        <v>1E-3</v>
      </c>
      <c r="S58" s="147">
        <v>33.468000000000004</v>
      </c>
      <c r="T58" s="145">
        <v>0.70799999999999996</v>
      </c>
    </row>
    <row r="59" spans="1:20" s="6" customFormat="1" ht="26.45" customHeight="1">
      <c r="A59" s="17">
        <v>345</v>
      </c>
      <c r="B59" s="167" t="s">
        <v>64</v>
      </c>
      <c r="C59" s="167"/>
      <c r="D59" s="24">
        <v>200</v>
      </c>
      <c r="E59" s="23">
        <v>5.0999999999999996</v>
      </c>
      <c r="F59" s="29">
        <v>0.06</v>
      </c>
      <c r="G59" s="29">
        <v>0.02</v>
      </c>
      <c r="H59" s="29">
        <v>20.73</v>
      </c>
      <c r="I59" s="29">
        <v>83.34</v>
      </c>
      <c r="J59" s="30">
        <v>0</v>
      </c>
      <c r="K59" s="30">
        <v>0</v>
      </c>
      <c r="L59" s="31">
        <v>2.5</v>
      </c>
      <c r="M59" s="30">
        <v>4.0000000000000001E-3</v>
      </c>
      <c r="N59" s="30">
        <v>0.2</v>
      </c>
      <c r="O59" s="31">
        <v>4</v>
      </c>
      <c r="P59" s="31">
        <v>3.3</v>
      </c>
      <c r="Q59" s="31">
        <v>0.08</v>
      </c>
      <c r="R59" s="31">
        <v>1E-3</v>
      </c>
      <c r="S59" s="31">
        <v>1.7</v>
      </c>
      <c r="T59" s="29">
        <v>0.15</v>
      </c>
    </row>
    <row r="60" spans="1:20" s="6" customFormat="1" ht="11.25" customHeight="1">
      <c r="A60" s="59" t="s">
        <v>30</v>
      </c>
      <c r="B60" s="167" t="s">
        <v>43</v>
      </c>
      <c r="C60" s="167"/>
      <c r="D60" s="24">
        <v>50</v>
      </c>
      <c r="E60" s="23">
        <v>2.35</v>
      </c>
      <c r="F60" s="23">
        <f>2.64*D60/40</f>
        <v>3.3</v>
      </c>
      <c r="G60" s="23">
        <f>0.48*D60/40</f>
        <v>0.6</v>
      </c>
      <c r="H60" s="23">
        <f>13.68*D60/40</f>
        <v>17.100000000000001</v>
      </c>
      <c r="I60" s="61">
        <f>F60*4+G60*9+H60*4</f>
        <v>87</v>
      </c>
      <c r="J60" s="26">
        <f>0.08*D60/40</f>
        <v>0.1</v>
      </c>
      <c r="K60" s="23">
        <f>0.04*D60/40</f>
        <v>0.05</v>
      </c>
      <c r="L60" s="24">
        <v>0</v>
      </c>
      <c r="M60" s="24">
        <v>0</v>
      </c>
      <c r="N60" s="23">
        <f>2.4*D60/40</f>
        <v>3</v>
      </c>
      <c r="O60" s="23">
        <f>14*D60/40</f>
        <v>17.5</v>
      </c>
      <c r="P60" s="23">
        <f>63.2*D60/40</f>
        <v>79</v>
      </c>
      <c r="Q60" s="23">
        <f>1.2*D60/40</f>
        <v>1.5</v>
      </c>
      <c r="R60" s="25">
        <f>0.001*D60/40</f>
        <v>1.25E-3</v>
      </c>
      <c r="S60" s="23">
        <f>9.4*D60/40</f>
        <v>11.75</v>
      </c>
      <c r="T60" s="26">
        <f>0.78*D60/40</f>
        <v>0.97499999999999998</v>
      </c>
    </row>
    <row r="61" spans="1:20" s="6" customFormat="1" ht="11.25" customHeight="1">
      <c r="A61" s="81" t="s">
        <v>30</v>
      </c>
      <c r="B61" s="174" t="s">
        <v>44</v>
      </c>
      <c r="C61" s="174"/>
      <c r="D61" s="24">
        <v>200</v>
      </c>
      <c r="E61" s="23">
        <v>23.46</v>
      </c>
      <c r="F61" s="29">
        <v>0.9</v>
      </c>
      <c r="G61" s="30">
        <v>0.2</v>
      </c>
      <c r="H61" s="31">
        <v>8.1</v>
      </c>
      <c r="I61" s="29">
        <v>136.6</v>
      </c>
      <c r="J61" s="29">
        <v>0.04</v>
      </c>
      <c r="K61" s="29">
        <v>0.03</v>
      </c>
      <c r="L61" s="29">
        <v>60</v>
      </c>
      <c r="M61" s="29">
        <v>0</v>
      </c>
      <c r="N61" s="30">
        <v>0.2</v>
      </c>
      <c r="O61" s="29">
        <v>34</v>
      </c>
      <c r="P61" s="29">
        <v>23</v>
      </c>
      <c r="Q61" s="57">
        <v>0.2</v>
      </c>
      <c r="R61" s="29">
        <v>0</v>
      </c>
      <c r="S61" s="29">
        <v>15</v>
      </c>
      <c r="T61" s="29">
        <v>0.3</v>
      </c>
    </row>
    <row r="62" spans="1:20" s="6" customFormat="1" ht="11.25" customHeight="1">
      <c r="A62" s="62" t="s">
        <v>45</v>
      </c>
      <c r="B62" s="63"/>
      <c r="C62" s="63"/>
      <c r="D62" s="39">
        <f>SUM(D55:D61)</f>
        <v>1015</v>
      </c>
      <c r="E62" s="40">
        <f>SUM(E55:E61)</f>
        <v>80</v>
      </c>
      <c r="F62" s="41">
        <f t="shared" ref="F62:T62" si="10">SUM(F55:F60)</f>
        <v>19.71</v>
      </c>
      <c r="G62" s="42">
        <f t="shared" si="10"/>
        <v>18.3</v>
      </c>
      <c r="H62" s="42">
        <f t="shared" si="10"/>
        <v>114.566</v>
      </c>
      <c r="I62" s="42">
        <f t="shared" si="10"/>
        <v>704.2700000000001</v>
      </c>
      <c r="J62" s="41">
        <f t="shared" si="10"/>
        <v>0.32600000000000001</v>
      </c>
      <c r="K62" s="41">
        <f t="shared" si="10"/>
        <v>0.374</v>
      </c>
      <c r="L62" s="41">
        <f t="shared" si="10"/>
        <v>16.869999999999997</v>
      </c>
      <c r="M62" s="41">
        <f t="shared" si="10"/>
        <v>6.2E-2</v>
      </c>
      <c r="N62" s="41">
        <f t="shared" si="10"/>
        <v>3.6790000000000003</v>
      </c>
      <c r="O62" s="41">
        <f t="shared" si="10"/>
        <v>129.77799999999999</v>
      </c>
      <c r="P62" s="41">
        <f t="shared" si="10"/>
        <v>394.69599999999997</v>
      </c>
      <c r="Q62" s="41">
        <f t="shared" si="10"/>
        <v>2.14</v>
      </c>
      <c r="R62" s="43">
        <f t="shared" si="10"/>
        <v>1.4250000000000001E-2</v>
      </c>
      <c r="S62" s="41">
        <f t="shared" si="10"/>
        <v>116.78800000000001</v>
      </c>
      <c r="T62" s="41">
        <f t="shared" si="10"/>
        <v>4.5030000000000001</v>
      </c>
    </row>
    <row r="63" spans="1:20" s="6" customFormat="1" ht="11.25" customHeight="1">
      <c r="A63" s="171" t="s">
        <v>35</v>
      </c>
      <c r="B63" s="171"/>
      <c r="C63" s="171"/>
      <c r="D63" s="171"/>
      <c r="E63" s="64"/>
      <c r="F63" s="65">
        <f t="shared" ref="F63:T63" si="11">F62/F70</f>
        <v>0.219</v>
      </c>
      <c r="G63" s="46">
        <f t="shared" si="11"/>
        <v>0.19891304347826089</v>
      </c>
      <c r="H63" s="46">
        <f t="shared" si="11"/>
        <v>0.29912793733681464</v>
      </c>
      <c r="I63" s="46">
        <f t="shared" si="11"/>
        <v>0.25892279411764707</v>
      </c>
      <c r="J63" s="46">
        <f t="shared" si="11"/>
        <v>0.23285714285714287</v>
      </c>
      <c r="K63" s="46">
        <f t="shared" si="11"/>
        <v>0.23374999999999999</v>
      </c>
      <c r="L63" s="46">
        <f t="shared" si="11"/>
        <v>0.24099999999999996</v>
      </c>
      <c r="M63" s="46">
        <f t="shared" si="11"/>
        <v>6.8888888888888888E-2</v>
      </c>
      <c r="N63" s="46">
        <f t="shared" si="11"/>
        <v>0.30658333333333337</v>
      </c>
      <c r="O63" s="46">
        <f t="shared" si="11"/>
        <v>0.10814833333333333</v>
      </c>
      <c r="P63" s="46">
        <f t="shared" si="11"/>
        <v>0.32891333333333334</v>
      </c>
      <c r="Q63" s="46">
        <f t="shared" si="11"/>
        <v>0.15285714285714286</v>
      </c>
      <c r="R63" s="46">
        <f t="shared" si="11"/>
        <v>0.14249999999999999</v>
      </c>
      <c r="S63" s="46">
        <f t="shared" si="11"/>
        <v>0.38929333333333338</v>
      </c>
      <c r="T63" s="46">
        <f t="shared" si="11"/>
        <v>0.25016666666666665</v>
      </c>
    </row>
    <row r="64" spans="1:20" s="6" customFormat="1" ht="11.25" customHeight="1">
      <c r="A64" s="176" t="s">
        <v>46</v>
      </c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</row>
    <row r="65" spans="1:20" s="6" customFormat="1" ht="11.25" customHeight="1">
      <c r="A65" s="17">
        <v>406</v>
      </c>
      <c r="B65" s="167" t="s">
        <v>65</v>
      </c>
      <c r="C65" s="167"/>
      <c r="D65" s="24">
        <v>75</v>
      </c>
      <c r="E65" s="23">
        <v>16.190000000000001</v>
      </c>
      <c r="F65" s="23">
        <v>11</v>
      </c>
      <c r="G65" s="61">
        <v>9.5</v>
      </c>
      <c r="H65" s="61">
        <v>31.5</v>
      </c>
      <c r="I65" s="23">
        <f>F65*4+G65*9+H65*4</f>
        <v>255.5</v>
      </c>
      <c r="J65" s="23">
        <v>0.1</v>
      </c>
      <c r="K65" s="23">
        <v>0.3</v>
      </c>
      <c r="L65" s="23">
        <v>0.6</v>
      </c>
      <c r="M65" s="23">
        <v>0.13</v>
      </c>
      <c r="N65" s="23">
        <v>1.8</v>
      </c>
      <c r="O65" s="23">
        <v>18.600000000000001</v>
      </c>
      <c r="P65" s="23">
        <v>113.8</v>
      </c>
      <c r="Q65" s="23">
        <v>1.63</v>
      </c>
      <c r="R65" s="23">
        <v>0.01</v>
      </c>
      <c r="S65" s="23">
        <v>17.399999999999999</v>
      </c>
      <c r="T65" s="23">
        <v>0.6</v>
      </c>
    </row>
    <row r="66" spans="1:20" s="6" customFormat="1" ht="12" customHeight="1">
      <c r="A66" s="17">
        <v>389</v>
      </c>
      <c r="B66" s="167" t="s">
        <v>66</v>
      </c>
      <c r="C66" s="167"/>
      <c r="D66" s="24">
        <v>200</v>
      </c>
      <c r="E66" s="23">
        <v>13.81</v>
      </c>
      <c r="F66" s="23">
        <v>3.17</v>
      </c>
      <c r="G66" s="23">
        <v>2.68</v>
      </c>
      <c r="H66" s="23">
        <v>15.95</v>
      </c>
      <c r="I66" s="23">
        <f>F66*4+G66*9+H66*4</f>
        <v>100.6</v>
      </c>
      <c r="J66" s="26">
        <v>0.04</v>
      </c>
      <c r="K66" s="26">
        <v>0.15</v>
      </c>
      <c r="L66" s="61">
        <v>1.3</v>
      </c>
      <c r="M66" s="26">
        <v>0.03</v>
      </c>
      <c r="N66" s="26">
        <v>0.06</v>
      </c>
      <c r="O66" s="61">
        <v>120.4</v>
      </c>
      <c r="P66" s="61">
        <v>90</v>
      </c>
      <c r="Q66" s="61">
        <v>1.1000000000000001</v>
      </c>
      <c r="R66" s="61">
        <v>0.01</v>
      </c>
      <c r="S66" s="61">
        <v>14</v>
      </c>
      <c r="T66" s="23">
        <v>0.12</v>
      </c>
    </row>
    <row r="67" spans="1:20" s="9" customFormat="1" ht="11.25" customHeight="1">
      <c r="A67" s="62" t="s">
        <v>49</v>
      </c>
      <c r="B67" s="63"/>
      <c r="C67" s="63"/>
      <c r="D67" s="39">
        <f t="shared" ref="D67:T67" si="12">SUM(D65:D66)</f>
        <v>275</v>
      </c>
      <c r="E67" s="40">
        <f t="shared" si="12"/>
        <v>30</v>
      </c>
      <c r="F67" s="41">
        <f t="shared" si="12"/>
        <v>14.17</v>
      </c>
      <c r="G67" s="42">
        <f t="shared" si="12"/>
        <v>12.18</v>
      </c>
      <c r="H67" s="42">
        <f t="shared" si="12"/>
        <v>47.45</v>
      </c>
      <c r="I67" s="42">
        <f t="shared" si="12"/>
        <v>356.1</v>
      </c>
      <c r="J67" s="42">
        <f t="shared" si="12"/>
        <v>0.14000000000000001</v>
      </c>
      <c r="K67" s="42">
        <f t="shared" si="12"/>
        <v>0.44999999999999996</v>
      </c>
      <c r="L67" s="42">
        <f t="shared" si="12"/>
        <v>1.9</v>
      </c>
      <c r="M67" s="42">
        <f t="shared" si="12"/>
        <v>0.16</v>
      </c>
      <c r="N67" s="42">
        <f t="shared" si="12"/>
        <v>1.86</v>
      </c>
      <c r="O67" s="42">
        <f t="shared" si="12"/>
        <v>139</v>
      </c>
      <c r="P67" s="42">
        <f t="shared" si="12"/>
        <v>203.8</v>
      </c>
      <c r="Q67" s="42">
        <f t="shared" si="12"/>
        <v>2.73</v>
      </c>
      <c r="R67" s="42">
        <f t="shared" si="12"/>
        <v>0.02</v>
      </c>
      <c r="S67" s="42">
        <f t="shared" si="12"/>
        <v>31.4</v>
      </c>
      <c r="T67" s="42">
        <f t="shared" si="12"/>
        <v>0.72</v>
      </c>
    </row>
    <row r="68" spans="1:20" s="9" customFormat="1" ht="11.25" customHeight="1">
      <c r="A68" s="171" t="s">
        <v>35</v>
      </c>
      <c r="B68" s="171"/>
      <c r="C68" s="171"/>
      <c r="D68" s="171"/>
      <c r="E68" s="64"/>
      <c r="F68" s="65">
        <f t="shared" ref="F68:T68" si="13">F67/F70</f>
        <v>0.15744444444444444</v>
      </c>
      <c r="G68" s="82">
        <f t="shared" si="13"/>
        <v>0.13239130434782609</v>
      </c>
      <c r="H68" s="82">
        <f t="shared" si="13"/>
        <v>0.12389033942558747</v>
      </c>
      <c r="I68" s="82">
        <f t="shared" si="13"/>
        <v>0.13091911764705882</v>
      </c>
      <c r="J68" s="82">
        <f t="shared" si="13"/>
        <v>0.10000000000000002</v>
      </c>
      <c r="K68" s="82">
        <f t="shared" si="13"/>
        <v>0.28124999999999994</v>
      </c>
      <c r="L68" s="82">
        <f t="shared" si="13"/>
        <v>2.7142857142857142E-2</v>
      </c>
      <c r="M68" s="82">
        <f t="shared" si="13"/>
        <v>0.17777777777777778</v>
      </c>
      <c r="N68" s="82">
        <f t="shared" si="13"/>
        <v>0.155</v>
      </c>
      <c r="O68" s="82">
        <f t="shared" si="13"/>
        <v>0.11583333333333333</v>
      </c>
      <c r="P68" s="82">
        <f t="shared" si="13"/>
        <v>0.16983333333333334</v>
      </c>
      <c r="Q68" s="82">
        <f t="shared" si="13"/>
        <v>0.19500000000000001</v>
      </c>
      <c r="R68" s="82">
        <f t="shared" si="13"/>
        <v>0.19999999999999998</v>
      </c>
      <c r="S68" s="82">
        <f t="shared" si="13"/>
        <v>0.10466666666666666</v>
      </c>
      <c r="T68" s="82">
        <f t="shared" si="13"/>
        <v>0.04</v>
      </c>
    </row>
    <row r="69" spans="1:20" s="9" customFormat="1" ht="11.25" customHeight="1">
      <c r="A69" s="171" t="s">
        <v>50</v>
      </c>
      <c r="B69" s="171"/>
      <c r="C69" s="171"/>
      <c r="D69" s="171"/>
      <c r="E69" s="44"/>
      <c r="F69" s="41">
        <f t="shared" ref="F69:T69" si="14">SUM(F51,F62,F67)</f>
        <v>42.730000000000004</v>
      </c>
      <c r="G69" s="42">
        <f t="shared" si="14"/>
        <v>41.230000000000004</v>
      </c>
      <c r="H69" s="42">
        <f t="shared" si="14"/>
        <v>214.13600000000002</v>
      </c>
      <c r="I69" s="42">
        <f t="shared" si="14"/>
        <v>1499.8200000000002</v>
      </c>
      <c r="J69" s="41">
        <f t="shared" si="14"/>
        <v>0.72600000000000009</v>
      </c>
      <c r="K69" s="41">
        <f t="shared" si="14"/>
        <v>1.0739999999999998</v>
      </c>
      <c r="L69" s="83">
        <f t="shared" si="14"/>
        <v>82.97999999999999</v>
      </c>
      <c r="M69" s="41">
        <f t="shared" si="14"/>
        <v>0.30700000000000005</v>
      </c>
      <c r="N69" s="83">
        <f t="shared" si="14"/>
        <v>5.8090000000000002</v>
      </c>
      <c r="O69" s="42">
        <f t="shared" si="14"/>
        <v>471.00800000000004</v>
      </c>
      <c r="P69" s="41">
        <f t="shared" si="14"/>
        <v>863.65599999999995</v>
      </c>
      <c r="Q69" s="42">
        <f t="shared" si="14"/>
        <v>5.1669999999999998</v>
      </c>
      <c r="R69" s="43">
        <f t="shared" si="14"/>
        <v>3.925E-2</v>
      </c>
      <c r="S69" s="41">
        <f t="shared" si="14"/>
        <v>234.81800000000001</v>
      </c>
      <c r="T69" s="41">
        <f t="shared" si="14"/>
        <v>7.9530000000000003</v>
      </c>
    </row>
    <row r="70" spans="1:20" s="9" customFormat="1" ht="11.25" customHeight="1">
      <c r="A70" s="171" t="s">
        <v>51</v>
      </c>
      <c r="B70" s="171"/>
      <c r="C70" s="171"/>
      <c r="D70" s="171"/>
      <c r="E70" s="44"/>
      <c r="F70" s="23">
        <v>90</v>
      </c>
      <c r="G70" s="61">
        <v>92</v>
      </c>
      <c r="H70" s="61">
        <v>383</v>
      </c>
      <c r="I70" s="61">
        <v>2720</v>
      </c>
      <c r="J70" s="23">
        <v>1.4</v>
      </c>
      <c r="K70" s="23">
        <v>1.6</v>
      </c>
      <c r="L70" s="24">
        <v>70</v>
      </c>
      <c r="M70" s="23">
        <v>0.9</v>
      </c>
      <c r="N70" s="24">
        <v>12</v>
      </c>
      <c r="O70" s="24">
        <v>1200</v>
      </c>
      <c r="P70" s="24">
        <v>1200</v>
      </c>
      <c r="Q70" s="24">
        <v>14</v>
      </c>
      <c r="R70" s="61">
        <v>0.1</v>
      </c>
      <c r="S70" s="24">
        <v>300</v>
      </c>
      <c r="T70" s="23">
        <v>18</v>
      </c>
    </row>
    <row r="71" spans="1:20" s="84" customFormat="1" ht="11.25" customHeight="1">
      <c r="A71" s="181" t="s">
        <v>35</v>
      </c>
      <c r="B71" s="181"/>
      <c r="C71" s="181"/>
      <c r="D71" s="181"/>
      <c r="E71" s="44"/>
      <c r="F71" s="66">
        <f t="shared" ref="F71:T71" si="15">F69/F70</f>
        <v>0.4747777777777778</v>
      </c>
      <c r="G71" s="67">
        <f t="shared" si="15"/>
        <v>0.44815217391304352</v>
      </c>
      <c r="H71" s="67">
        <f t="shared" si="15"/>
        <v>0.55910182767624028</v>
      </c>
      <c r="I71" s="67">
        <f t="shared" si="15"/>
        <v>0.55140441176470589</v>
      </c>
      <c r="J71" s="67">
        <f t="shared" si="15"/>
        <v>0.51857142857142868</v>
      </c>
      <c r="K71" s="67">
        <f t="shared" si="15"/>
        <v>0.6712499999999999</v>
      </c>
      <c r="L71" s="67">
        <f t="shared" si="15"/>
        <v>1.1854285714285713</v>
      </c>
      <c r="M71" s="68">
        <f t="shared" si="15"/>
        <v>0.34111111111111114</v>
      </c>
      <c r="N71" s="68">
        <f t="shared" si="15"/>
        <v>0.48408333333333337</v>
      </c>
      <c r="O71" s="67">
        <f t="shared" si="15"/>
        <v>0.39250666666666673</v>
      </c>
      <c r="P71" s="67">
        <f t="shared" si="15"/>
        <v>0.71971333333333332</v>
      </c>
      <c r="Q71" s="67">
        <f t="shared" si="15"/>
        <v>0.36907142857142855</v>
      </c>
      <c r="R71" s="68">
        <f t="shared" si="15"/>
        <v>0.39249999999999996</v>
      </c>
      <c r="S71" s="67">
        <f t="shared" si="15"/>
        <v>0.78272666666666668</v>
      </c>
      <c r="T71" s="67">
        <f t="shared" si="15"/>
        <v>0.44183333333333336</v>
      </c>
    </row>
    <row r="72" spans="1:20" s="9" customFormat="1" ht="11.25" customHeight="1">
      <c r="A72" s="5" t="s">
        <v>67</v>
      </c>
      <c r="B72" s="5"/>
      <c r="C72" s="69"/>
      <c r="D72" s="69"/>
      <c r="E72" s="70"/>
      <c r="F72" s="11"/>
      <c r="G72" s="6"/>
      <c r="H72" s="8"/>
      <c r="I72" s="8"/>
      <c r="J72" s="6"/>
      <c r="K72" s="6"/>
      <c r="L72" s="6"/>
      <c r="M72" s="160" t="s">
        <v>0</v>
      </c>
      <c r="N72" s="160"/>
      <c r="O72" s="160"/>
      <c r="P72" s="160"/>
      <c r="Q72" s="160"/>
      <c r="R72" s="160"/>
      <c r="S72" s="160"/>
      <c r="T72" s="160"/>
    </row>
    <row r="73" spans="1:20" s="9" customFormat="1" ht="11.25" customHeight="1">
      <c r="A73" s="5"/>
      <c r="B73" s="5"/>
      <c r="C73" s="69"/>
      <c r="D73" s="69"/>
      <c r="E73" s="70"/>
      <c r="F73" s="11"/>
      <c r="G73" s="6"/>
      <c r="H73" s="8"/>
      <c r="I73" s="8"/>
      <c r="J73" s="6"/>
      <c r="K73" s="6"/>
      <c r="L73" s="6"/>
      <c r="M73" s="85"/>
      <c r="N73" s="85"/>
      <c r="O73" s="85"/>
      <c r="P73" s="85"/>
      <c r="Q73" s="85"/>
      <c r="R73" s="85"/>
      <c r="S73" s="85"/>
      <c r="T73" s="85"/>
    </row>
    <row r="74" spans="1:20" s="9" customFormat="1" ht="11.25" customHeight="1">
      <c r="A74" s="180" t="s">
        <v>68</v>
      </c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</row>
    <row r="75" spans="1:20" s="9" customFormat="1" ht="11.25" customHeight="1">
      <c r="A75" s="10" t="s">
        <v>69</v>
      </c>
      <c r="B75" s="5"/>
      <c r="C75" s="5"/>
      <c r="D75" s="8"/>
      <c r="E75" s="11"/>
      <c r="F75" s="7"/>
      <c r="G75" s="162" t="s">
        <v>53</v>
      </c>
      <c r="H75" s="162"/>
      <c r="I75" s="162"/>
      <c r="J75" s="6"/>
      <c r="K75" s="6"/>
      <c r="L75" s="163"/>
      <c r="M75" s="163"/>
      <c r="N75" s="164"/>
      <c r="O75" s="164"/>
      <c r="P75" s="164"/>
      <c r="Q75" s="164"/>
      <c r="R75" s="6"/>
      <c r="S75" s="6"/>
      <c r="T75" s="6"/>
    </row>
    <row r="76" spans="1:20" s="9" customFormat="1" ht="11.25" customHeight="1">
      <c r="A76" s="5"/>
      <c r="B76" s="5"/>
      <c r="C76" s="5"/>
      <c r="D76" s="182" t="s">
        <v>4</v>
      </c>
      <c r="E76" s="182"/>
      <c r="F76" s="182"/>
      <c r="G76" s="12">
        <v>1</v>
      </c>
      <c r="H76" s="6"/>
      <c r="I76" s="8"/>
      <c r="J76" s="8"/>
      <c r="K76" s="8"/>
      <c r="L76" s="182"/>
      <c r="M76" s="182"/>
      <c r="N76" s="162"/>
      <c r="O76" s="162"/>
      <c r="P76" s="162"/>
      <c r="Q76" s="162"/>
      <c r="R76" s="162"/>
      <c r="S76" s="162"/>
      <c r="T76" s="162"/>
    </row>
    <row r="77" spans="1:20" s="9" customFormat="1" ht="21.75" customHeight="1">
      <c r="A77" s="165" t="s">
        <v>54</v>
      </c>
      <c r="B77" s="165" t="s">
        <v>55</v>
      </c>
      <c r="C77" s="165"/>
      <c r="D77" s="165" t="s">
        <v>7</v>
      </c>
      <c r="E77" s="86"/>
      <c r="F77" s="165" t="s">
        <v>8</v>
      </c>
      <c r="G77" s="165"/>
      <c r="H77" s="165"/>
      <c r="I77" s="165" t="s">
        <v>9</v>
      </c>
      <c r="J77" s="165" t="s">
        <v>10</v>
      </c>
      <c r="K77" s="165"/>
      <c r="L77" s="165"/>
      <c r="M77" s="165"/>
      <c r="N77" s="165"/>
      <c r="O77" s="165" t="s">
        <v>11</v>
      </c>
      <c r="P77" s="165"/>
      <c r="Q77" s="165"/>
      <c r="R77" s="165"/>
      <c r="S77" s="165"/>
      <c r="T77" s="165"/>
    </row>
    <row r="78" spans="1:20" s="9" customFormat="1" ht="21" customHeight="1">
      <c r="A78" s="165"/>
      <c r="B78" s="165"/>
      <c r="C78" s="165"/>
      <c r="D78" s="165"/>
      <c r="E78" s="15"/>
      <c r="F78" s="16" t="s">
        <v>12</v>
      </c>
      <c r="G78" s="13" t="s">
        <v>13</v>
      </c>
      <c r="H78" s="13" t="s">
        <v>14</v>
      </c>
      <c r="I78" s="165"/>
      <c r="J78" s="13" t="s">
        <v>15</v>
      </c>
      <c r="K78" s="13" t="s">
        <v>16</v>
      </c>
      <c r="L78" s="13" t="s">
        <v>17</v>
      </c>
      <c r="M78" s="13" t="s">
        <v>18</v>
      </c>
      <c r="N78" s="13" t="s">
        <v>19</v>
      </c>
      <c r="O78" s="13" t="s">
        <v>20</v>
      </c>
      <c r="P78" s="13" t="s">
        <v>21</v>
      </c>
      <c r="Q78" s="13" t="s">
        <v>22</v>
      </c>
      <c r="R78" s="13" t="s">
        <v>23</v>
      </c>
      <c r="S78" s="13" t="s">
        <v>24</v>
      </c>
      <c r="T78" s="13" t="s">
        <v>25</v>
      </c>
    </row>
    <row r="79" spans="1:20" s="9" customFormat="1" ht="11.25" customHeight="1">
      <c r="A79" s="17">
        <v>1</v>
      </c>
      <c r="B79" s="175">
        <v>2</v>
      </c>
      <c r="C79" s="175"/>
      <c r="D79" s="18">
        <v>3</v>
      </c>
      <c r="E79" s="19"/>
      <c r="F79" s="19">
        <v>4</v>
      </c>
      <c r="G79" s="18">
        <v>5</v>
      </c>
      <c r="H79" s="18">
        <v>6</v>
      </c>
      <c r="I79" s="18">
        <v>7</v>
      </c>
      <c r="J79" s="18">
        <v>8</v>
      </c>
      <c r="K79" s="18">
        <v>9</v>
      </c>
      <c r="L79" s="18">
        <v>10</v>
      </c>
      <c r="M79" s="18">
        <v>11</v>
      </c>
      <c r="N79" s="18">
        <v>12</v>
      </c>
      <c r="O79" s="18">
        <v>13</v>
      </c>
      <c r="P79" s="18">
        <v>14</v>
      </c>
      <c r="Q79" s="18">
        <v>15</v>
      </c>
      <c r="R79" s="18">
        <v>16</v>
      </c>
      <c r="S79" s="18">
        <v>17</v>
      </c>
      <c r="T79" s="18">
        <v>18</v>
      </c>
    </row>
    <row r="80" spans="1:20" s="9" customFormat="1" ht="11.25" customHeight="1">
      <c r="A80" s="176" t="s">
        <v>26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</row>
    <row r="81" spans="1:20" s="6" customFormat="1" ht="11.25" customHeight="1">
      <c r="A81" s="32" t="s">
        <v>30</v>
      </c>
      <c r="B81" s="167" t="s">
        <v>71</v>
      </c>
      <c r="C81" s="167"/>
      <c r="D81" s="24">
        <v>20</v>
      </c>
      <c r="E81" s="23">
        <v>6.6</v>
      </c>
      <c r="F81" s="26">
        <v>1.7</v>
      </c>
      <c r="G81" s="26">
        <v>1.7</v>
      </c>
      <c r="H81" s="26">
        <v>1.7</v>
      </c>
      <c r="I81" s="26">
        <v>1.7</v>
      </c>
      <c r="J81" s="26">
        <v>1.7</v>
      </c>
      <c r="K81" s="26">
        <v>1.7</v>
      </c>
      <c r="L81" s="26">
        <v>1.7</v>
      </c>
      <c r="M81" s="26">
        <v>1.7</v>
      </c>
      <c r="N81" s="26">
        <v>1.7</v>
      </c>
      <c r="O81" s="26">
        <v>1.7</v>
      </c>
      <c r="P81" s="26">
        <v>1.7</v>
      </c>
      <c r="Q81" s="26">
        <v>1.7</v>
      </c>
      <c r="R81" s="26">
        <v>1.7</v>
      </c>
      <c r="S81" s="26">
        <v>1.7</v>
      </c>
      <c r="T81" s="26">
        <v>1.7</v>
      </c>
    </row>
    <row r="82" spans="1:20" s="6" customFormat="1" ht="21" customHeight="1">
      <c r="A82" s="17">
        <v>222</v>
      </c>
      <c r="B82" s="183" t="s">
        <v>72</v>
      </c>
      <c r="C82" s="184"/>
      <c r="D82" s="24">
        <v>160</v>
      </c>
      <c r="E82" s="23">
        <v>43.93</v>
      </c>
      <c r="F82" s="29">
        <v>14.92</v>
      </c>
      <c r="G82" s="29">
        <v>14.38</v>
      </c>
      <c r="H82" s="29">
        <v>31.51</v>
      </c>
      <c r="I82" s="29">
        <v>315.14</v>
      </c>
      <c r="J82" s="31">
        <v>0.26</v>
      </c>
      <c r="K82" s="31">
        <v>0.40799999999999997</v>
      </c>
      <c r="L82" s="31">
        <v>0.93500000000000005</v>
      </c>
      <c r="M82" s="29">
        <v>0.21299999999999999</v>
      </c>
      <c r="N82" s="57">
        <v>1.36</v>
      </c>
      <c r="O82" s="31">
        <v>215.96</v>
      </c>
      <c r="P82" s="31">
        <v>414.6</v>
      </c>
      <c r="Q82" s="31">
        <v>1.2</v>
      </c>
      <c r="R82" s="57">
        <v>0.02</v>
      </c>
      <c r="S82" s="31">
        <v>93.882999999999996</v>
      </c>
      <c r="T82" s="29">
        <v>2.5329999999999999</v>
      </c>
    </row>
    <row r="83" spans="1:20" s="6" customFormat="1" ht="11.25" customHeight="1">
      <c r="A83" s="34">
        <v>377</v>
      </c>
      <c r="B83" s="166" t="s">
        <v>48</v>
      </c>
      <c r="C83" s="166"/>
      <c r="D83" s="58">
        <v>200</v>
      </c>
      <c r="E83" s="29">
        <v>3.3</v>
      </c>
      <c r="F83" s="132">
        <v>0.26</v>
      </c>
      <c r="G83" s="132">
        <v>0.06</v>
      </c>
      <c r="H83" s="132">
        <v>15.22</v>
      </c>
      <c r="I83" s="132">
        <v>62.46</v>
      </c>
      <c r="J83" s="132">
        <v>0</v>
      </c>
      <c r="K83" s="132">
        <v>0.01</v>
      </c>
      <c r="L83" s="132">
        <v>2.9</v>
      </c>
      <c r="M83" s="133">
        <v>0</v>
      </c>
      <c r="N83" s="132">
        <v>0.06</v>
      </c>
      <c r="O83" s="132">
        <v>8.0500000000000007</v>
      </c>
      <c r="P83" s="132">
        <v>9.7799999999999994</v>
      </c>
      <c r="Q83" s="132">
        <v>1.7000000000000001E-2</v>
      </c>
      <c r="R83" s="136">
        <v>0</v>
      </c>
      <c r="S83" s="132">
        <v>5.24</v>
      </c>
      <c r="T83" s="132">
        <v>0.87</v>
      </c>
    </row>
    <row r="84" spans="1:20" s="6" customFormat="1" ht="11.25" customHeight="1">
      <c r="A84" s="89" t="s">
        <v>30</v>
      </c>
      <c r="B84" s="167" t="s">
        <v>33</v>
      </c>
      <c r="C84" s="167"/>
      <c r="D84" s="24">
        <v>20</v>
      </c>
      <c r="E84" s="23">
        <v>13.46</v>
      </c>
      <c r="F84" s="33">
        <v>0.65</v>
      </c>
      <c r="G84" s="34">
        <v>3.8</v>
      </c>
      <c r="H84" s="35">
        <v>17.600000000000001</v>
      </c>
      <c r="I84" s="33">
        <v>38</v>
      </c>
      <c r="J84" s="33">
        <v>2.5999999999999999E-2</v>
      </c>
      <c r="K84" s="33">
        <v>0.03</v>
      </c>
      <c r="L84" s="33">
        <v>0.13</v>
      </c>
      <c r="M84" s="33">
        <v>11.96</v>
      </c>
      <c r="N84" s="34">
        <v>0.39</v>
      </c>
      <c r="O84" s="33">
        <v>24.18</v>
      </c>
      <c r="P84" s="33">
        <v>49.4</v>
      </c>
      <c r="Q84" s="36">
        <v>0.2</v>
      </c>
      <c r="R84" s="33">
        <v>2E-3</v>
      </c>
      <c r="S84" s="33">
        <v>18.72</v>
      </c>
      <c r="T84" s="33">
        <v>0.182</v>
      </c>
    </row>
    <row r="85" spans="1:20" s="6" customFormat="1" ht="14.25" customHeight="1">
      <c r="A85" s="37" t="s">
        <v>34</v>
      </c>
      <c r="B85" s="90"/>
      <c r="C85" s="90"/>
      <c r="D85" s="39">
        <f>SUM(D81:D84)</f>
        <v>400</v>
      </c>
      <c r="E85" s="40">
        <f>SUM(E81:E84)</f>
        <v>67.289999999999992</v>
      </c>
      <c r="F85" s="41">
        <f t="shared" ref="F85:T85" si="16">SUM(F81:F83)</f>
        <v>16.880000000000003</v>
      </c>
      <c r="G85" s="42">
        <f t="shared" si="16"/>
        <v>16.14</v>
      </c>
      <c r="H85" s="83">
        <f t="shared" si="16"/>
        <v>48.43</v>
      </c>
      <c r="I85" s="42">
        <f t="shared" si="16"/>
        <v>379.29999999999995</v>
      </c>
      <c r="J85" s="41">
        <f t="shared" si="16"/>
        <v>1.96</v>
      </c>
      <c r="K85" s="41">
        <f t="shared" si="16"/>
        <v>2.1179999999999999</v>
      </c>
      <c r="L85" s="41">
        <f t="shared" si="16"/>
        <v>5.5350000000000001</v>
      </c>
      <c r="M85" s="41">
        <f t="shared" si="16"/>
        <v>1.913</v>
      </c>
      <c r="N85" s="43">
        <f t="shared" si="16"/>
        <v>3.12</v>
      </c>
      <c r="O85" s="41">
        <f t="shared" si="16"/>
        <v>225.71</v>
      </c>
      <c r="P85" s="41">
        <f t="shared" si="16"/>
        <v>426.08</v>
      </c>
      <c r="Q85" s="41">
        <f t="shared" si="16"/>
        <v>2.9169999999999998</v>
      </c>
      <c r="R85" s="43">
        <f t="shared" si="16"/>
        <v>1.72</v>
      </c>
      <c r="S85" s="41">
        <f t="shared" si="16"/>
        <v>100.82299999999999</v>
      </c>
      <c r="T85" s="41">
        <f t="shared" si="16"/>
        <v>5.1029999999999998</v>
      </c>
    </row>
    <row r="86" spans="1:20" s="6" customFormat="1" ht="14.25" customHeight="1">
      <c r="A86" s="181" t="s">
        <v>35</v>
      </c>
      <c r="B86" s="181"/>
      <c r="C86" s="181"/>
      <c r="D86" s="181"/>
      <c r="E86" s="44"/>
      <c r="F86" s="66">
        <f t="shared" ref="F86:T86" si="17">F85/F102</f>
        <v>0.18755555555555559</v>
      </c>
      <c r="G86" s="66">
        <f t="shared" si="17"/>
        <v>0.17543478260869566</v>
      </c>
      <c r="H86" s="66">
        <f t="shared" si="17"/>
        <v>0.12644908616187989</v>
      </c>
      <c r="I86" s="66">
        <f t="shared" si="17"/>
        <v>0.13944852941176469</v>
      </c>
      <c r="J86" s="66">
        <f t="shared" si="17"/>
        <v>1.4000000000000001</v>
      </c>
      <c r="K86" s="66">
        <f t="shared" si="17"/>
        <v>1.3237499999999998</v>
      </c>
      <c r="L86" s="66">
        <f t="shared" si="17"/>
        <v>7.907142857142857E-2</v>
      </c>
      <c r="M86" s="66">
        <f t="shared" si="17"/>
        <v>2.1255555555555556</v>
      </c>
      <c r="N86" s="66">
        <f t="shared" si="17"/>
        <v>0.26</v>
      </c>
      <c r="O86" s="67">
        <f t="shared" si="17"/>
        <v>0.18809166666666668</v>
      </c>
      <c r="P86" s="66">
        <f t="shared" si="17"/>
        <v>0.35506666666666664</v>
      </c>
      <c r="Q86" s="66">
        <f t="shared" si="17"/>
        <v>0.20835714285714285</v>
      </c>
      <c r="R86" s="66">
        <f t="shared" si="17"/>
        <v>17.2</v>
      </c>
      <c r="S86" s="66">
        <f t="shared" si="17"/>
        <v>0.33607666666666663</v>
      </c>
      <c r="T86" s="67">
        <f t="shared" si="17"/>
        <v>0.28349999999999997</v>
      </c>
    </row>
    <row r="87" spans="1:20" s="6" customFormat="1" ht="11.25" customHeight="1">
      <c r="A87" s="176" t="s">
        <v>36</v>
      </c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</row>
    <row r="88" spans="1:20" s="7" customFormat="1" ht="21.75" customHeight="1">
      <c r="A88" s="17">
        <v>24</v>
      </c>
      <c r="B88" s="185" t="s">
        <v>73</v>
      </c>
      <c r="C88" s="185"/>
      <c r="D88" s="24">
        <v>60</v>
      </c>
      <c r="E88" s="23">
        <v>6.9</v>
      </c>
      <c r="F88" s="29">
        <v>0.59</v>
      </c>
      <c r="G88" s="29">
        <v>3.69</v>
      </c>
      <c r="H88" s="29">
        <v>2.2400000000000002</v>
      </c>
      <c r="I88" s="29">
        <v>44.52</v>
      </c>
      <c r="J88" s="29">
        <v>0.03</v>
      </c>
      <c r="K88" s="29">
        <v>3.3333333333333333E-2</v>
      </c>
      <c r="L88" s="29">
        <v>10.06</v>
      </c>
      <c r="M88" s="57">
        <v>0</v>
      </c>
      <c r="N88" s="29">
        <v>1.25</v>
      </c>
      <c r="O88" s="29">
        <v>11.21</v>
      </c>
      <c r="P88" s="29">
        <v>20.77</v>
      </c>
      <c r="Q88" s="29">
        <v>0.25</v>
      </c>
      <c r="R88" s="57">
        <v>1.6666666666666668E-3</v>
      </c>
      <c r="S88" s="29">
        <v>9.76</v>
      </c>
      <c r="T88" s="29">
        <v>0.44</v>
      </c>
    </row>
    <row r="89" spans="1:20" s="6" customFormat="1" ht="22.5" customHeight="1">
      <c r="A89" s="17">
        <v>82</v>
      </c>
      <c r="B89" s="167" t="s">
        <v>74</v>
      </c>
      <c r="C89" s="167"/>
      <c r="D89" s="26">
        <v>250</v>
      </c>
      <c r="E89" s="23">
        <v>10</v>
      </c>
      <c r="F89" s="29">
        <v>2.4300000000000002</v>
      </c>
      <c r="G89" s="29">
        <v>3.12</v>
      </c>
      <c r="H89" s="29">
        <v>12.01</v>
      </c>
      <c r="I89" s="29">
        <v>85.84</v>
      </c>
      <c r="J89" s="30">
        <v>6.4000000000000001E-2</v>
      </c>
      <c r="K89" s="30">
        <v>6.4000000000000001E-2</v>
      </c>
      <c r="L89" s="29">
        <v>20.98</v>
      </c>
      <c r="M89" s="57">
        <v>7.5999999999999998E-2</v>
      </c>
      <c r="N89" s="29">
        <v>0.25700000000000001</v>
      </c>
      <c r="O89" s="29">
        <v>49.59</v>
      </c>
      <c r="P89" s="29">
        <v>58.68</v>
      </c>
      <c r="Q89" s="29">
        <v>0.746</v>
      </c>
      <c r="R89" s="57">
        <v>1.0999999999999999E-2</v>
      </c>
      <c r="S89" s="29">
        <v>25.43</v>
      </c>
      <c r="T89" s="29">
        <v>1.32</v>
      </c>
    </row>
    <row r="90" spans="1:20" s="6" customFormat="1" ht="11.25" customHeight="1">
      <c r="A90" s="17">
        <v>291</v>
      </c>
      <c r="B90" s="167" t="s">
        <v>75</v>
      </c>
      <c r="C90" s="167"/>
      <c r="D90" s="24">
        <v>240</v>
      </c>
      <c r="E90" s="23">
        <v>43.87</v>
      </c>
      <c r="F90" s="29">
        <v>20.3</v>
      </c>
      <c r="G90" s="29">
        <v>17</v>
      </c>
      <c r="H90" s="29">
        <v>35.69</v>
      </c>
      <c r="I90" s="29">
        <v>377</v>
      </c>
      <c r="J90" s="29">
        <v>0.06</v>
      </c>
      <c r="K90" s="29">
        <v>0.66</v>
      </c>
      <c r="L90" s="29">
        <v>1.01</v>
      </c>
      <c r="M90" s="29">
        <v>48</v>
      </c>
      <c r="N90" s="30">
        <v>0</v>
      </c>
      <c r="O90" s="29">
        <v>45.1</v>
      </c>
      <c r="P90" s="29">
        <v>199.3</v>
      </c>
      <c r="Q90" s="58">
        <v>0</v>
      </c>
      <c r="R90" s="58">
        <v>0</v>
      </c>
      <c r="S90" s="29">
        <v>47.5</v>
      </c>
      <c r="T90" s="29">
        <v>2.19</v>
      </c>
    </row>
    <row r="91" spans="1:20" s="6" customFormat="1" ht="12" customHeight="1">
      <c r="A91" s="17">
        <v>699</v>
      </c>
      <c r="B91" s="167" t="s">
        <v>76</v>
      </c>
      <c r="C91" s="167"/>
      <c r="D91" s="24">
        <v>200</v>
      </c>
      <c r="E91" s="23">
        <v>4.08</v>
      </c>
      <c r="F91" s="29">
        <v>0.1</v>
      </c>
      <c r="G91" s="30">
        <v>0</v>
      </c>
      <c r="H91" s="31">
        <v>15.7</v>
      </c>
      <c r="I91" s="29">
        <v>63.2</v>
      </c>
      <c r="J91" s="30">
        <v>1.7999999999999999E-2</v>
      </c>
      <c r="K91" s="30">
        <v>1.2E-2</v>
      </c>
      <c r="L91" s="31">
        <v>8</v>
      </c>
      <c r="M91" s="30">
        <v>0</v>
      </c>
      <c r="N91" s="29">
        <v>0.2</v>
      </c>
      <c r="O91" s="29">
        <v>10.8</v>
      </c>
      <c r="P91" s="29">
        <v>1.7</v>
      </c>
      <c r="Q91" s="29">
        <v>0</v>
      </c>
      <c r="R91" s="57">
        <v>0</v>
      </c>
      <c r="S91" s="29">
        <v>5.8</v>
      </c>
      <c r="T91" s="29">
        <v>1.6</v>
      </c>
    </row>
    <row r="92" spans="1:20" s="6" customFormat="1" ht="11.25" customHeight="1">
      <c r="A92" s="59" t="s">
        <v>30</v>
      </c>
      <c r="B92" s="167" t="s">
        <v>43</v>
      </c>
      <c r="C92" s="167"/>
      <c r="D92" s="24">
        <v>50</v>
      </c>
      <c r="E92" s="23">
        <v>2.35</v>
      </c>
      <c r="F92" s="23">
        <f>2.64*D92/40</f>
        <v>3.3</v>
      </c>
      <c r="G92" s="23">
        <f>0.48*D92/40</f>
        <v>0.6</v>
      </c>
      <c r="H92" s="23">
        <f>13.68*D92/40</f>
        <v>17.100000000000001</v>
      </c>
      <c r="I92" s="23">
        <f>F92*4+G92*9+H92*4</f>
        <v>87</v>
      </c>
      <c r="J92" s="26">
        <f>0.08*D92/40</f>
        <v>0.1</v>
      </c>
      <c r="K92" s="23">
        <f>0.04*D92/40</f>
        <v>0.05</v>
      </c>
      <c r="L92" s="24">
        <v>0</v>
      </c>
      <c r="M92" s="24">
        <v>0</v>
      </c>
      <c r="N92" s="23">
        <f>2.4*D92/40</f>
        <v>3</v>
      </c>
      <c r="O92" s="23">
        <f>14*D92/40</f>
        <v>17.5</v>
      </c>
      <c r="P92" s="23">
        <f>63.2*D92/40</f>
        <v>79</v>
      </c>
      <c r="Q92" s="23">
        <f>1.2*D92/40</f>
        <v>1.5</v>
      </c>
      <c r="R92" s="25">
        <f>0.001*D92/40</f>
        <v>1.25E-3</v>
      </c>
      <c r="S92" s="23">
        <f>9.4*D92/40</f>
        <v>11.75</v>
      </c>
      <c r="T92" s="26">
        <f>0.78*D92/40</f>
        <v>0.97499999999999998</v>
      </c>
    </row>
    <row r="93" spans="1:20" s="6" customFormat="1" ht="11.25" customHeight="1">
      <c r="A93" s="77" t="s">
        <v>30</v>
      </c>
      <c r="B93" s="167" t="s">
        <v>33</v>
      </c>
      <c r="C93" s="167"/>
      <c r="D93" s="24">
        <v>20</v>
      </c>
      <c r="E93" s="23">
        <v>22.8</v>
      </c>
      <c r="F93" s="33">
        <v>0.65</v>
      </c>
      <c r="G93" s="34">
        <v>3.8</v>
      </c>
      <c r="H93" s="35">
        <v>17.600000000000001</v>
      </c>
      <c r="I93" s="33">
        <v>38</v>
      </c>
      <c r="J93" s="33">
        <v>2.5999999999999999E-2</v>
      </c>
      <c r="K93" s="33">
        <v>0.03</v>
      </c>
      <c r="L93" s="33">
        <v>0.13</v>
      </c>
      <c r="M93" s="33">
        <v>11.96</v>
      </c>
      <c r="N93" s="34">
        <v>0.39</v>
      </c>
      <c r="O93" s="33">
        <v>24.18</v>
      </c>
      <c r="P93" s="33">
        <v>49.4</v>
      </c>
      <c r="Q93" s="36">
        <v>0.2</v>
      </c>
      <c r="R93" s="33">
        <v>2E-3</v>
      </c>
      <c r="S93" s="33">
        <v>18.72</v>
      </c>
      <c r="T93" s="33">
        <v>0.182</v>
      </c>
    </row>
    <row r="94" spans="1:20" s="6" customFormat="1" ht="11.25" customHeight="1">
      <c r="A94" s="62" t="s">
        <v>45</v>
      </c>
      <c r="B94" s="63"/>
      <c r="C94" s="63"/>
      <c r="D94" s="39">
        <f>SUM(D88:D93)</f>
        <v>820</v>
      </c>
      <c r="E94" s="40">
        <f>SUM(E88:E93)</f>
        <v>89.999999999999986</v>
      </c>
      <c r="F94" s="41">
        <f t="shared" ref="F94:T94" si="18">SUM(F88:F92)</f>
        <v>26.720000000000002</v>
      </c>
      <c r="G94" s="42">
        <f t="shared" si="18"/>
        <v>24.410000000000004</v>
      </c>
      <c r="H94" s="42">
        <f t="shared" si="18"/>
        <v>82.740000000000009</v>
      </c>
      <c r="I94" s="42">
        <f t="shared" si="18"/>
        <v>657.56000000000006</v>
      </c>
      <c r="J94" s="41">
        <f t="shared" si="18"/>
        <v>0.27200000000000002</v>
      </c>
      <c r="K94" s="41">
        <f t="shared" si="18"/>
        <v>0.81933333333333347</v>
      </c>
      <c r="L94" s="42">
        <f t="shared" si="18"/>
        <v>40.049999999999997</v>
      </c>
      <c r="M94" s="41">
        <f t="shared" si="18"/>
        <v>48.076000000000001</v>
      </c>
      <c r="N94" s="91">
        <f t="shared" si="18"/>
        <v>4.7069999999999999</v>
      </c>
      <c r="O94" s="42">
        <f t="shared" si="18"/>
        <v>134.19999999999999</v>
      </c>
      <c r="P94" s="41">
        <f t="shared" si="18"/>
        <v>359.45</v>
      </c>
      <c r="Q94" s="42">
        <f t="shared" si="18"/>
        <v>2.496</v>
      </c>
      <c r="R94" s="43">
        <f t="shared" si="18"/>
        <v>1.3916666666666666E-2</v>
      </c>
      <c r="S94" s="83">
        <f t="shared" si="18"/>
        <v>100.24</v>
      </c>
      <c r="T94" s="41">
        <f t="shared" si="18"/>
        <v>6.5250000000000004</v>
      </c>
    </row>
    <row r="95" spans="1:20" s="6" customFormat="1" ht="11.25" customHeight="1">
      <c r="A95" s="181" t="s">
        <v>35</v>
      </c>
      <c r="B95" s="181"/>
      <c r="C95" s="181"/>
      <c r="D95" s="181"/>
      <c r="E95" s="80"/>
      <c r="F95" s="92">
        <f t="shared" ref="F95:T95" si="19">F94/F102</f>
        <v>0.29688888888888892</v>
      </c>
      <c r="G95" s="66">
        <f t="shared" si="19"/>
        <v>0.26532608695652177</v>
      </c>
      <c r="H95" s="66">
        <f t="shared" si="19"/>
        <v>0.21603133159268931</v>
      </c>
      <c r="I95" s="66">
        <f t="shared" si="19"/>
        <v>0.24175000000000002</v>
      </c>
      <c r="J95" s="66">
        <f t="shared" si="19"/>
        <v>0.19428571428571431</v>
      </c>
      <c r="K95" s="66">
        <f t="shared" si="19"/>
        <v>0.51208333333333333</v>
      </c>
      <c r="L95" s="66">
        <f t="shared" si="19"/>
        <v>0.57214285714285706</v>
      </c>
      <c r="M95" s="66">
        <f t="shared" si="19"/>
        <v>53.417777777777779</v>
      </c>
      <c r="N95" s="66">
        <f t="shared" si="19"/>
        <v>0.39224999999999999</v>
      </c>
      <c r="O95" s="67">
        <f t="shared" si="19"/>
        <v>0.11183333333333333</v>
      </c>
      <c r="P95" s="66">
        <f t="shared" si="19"/>
        <v>0.29954166666666665</v>
      </c>
      <c r="Q95" s="66">
        <f t="shared" si="19"/>
        <v>0.1782857142857143</v>
      </c>
      <c r="R95" s="66">
        <f t="shared" si="19"/>
        <v>0.13916666666666666</v>
      </c>
      <c r="S95" s="66">
        <f t="shared" si="19"/>
        <v>0.33413333333333334</v>
      </c>
      <c r="T95" s="67">
        <f t="shared" si="19"/>
        <v>0.36250000000000004</v>
      </c>
    </row>
    <row r="96" spans="1:20" s="6" customFormat="1" ht="11.25" customHeight="1">
      <c r="A96" s="176" t="s">
        <v>46</v>
      </c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</row>
    <row r="97" spans="1:20" s="6" customFormat="1" ht="12" customHeight="1">
      <c r="A97" s="17"/>
      <c r="B97" s="167" t="s">
        <v>77</v>
      </c>
      <c r="C97" s="167"/>
      <c r="D97" s="24">
        <v>75</v>
      </c>
      <c r="E97" s="23">
        <v>27.65</v>
      </c>
      <c r="F97" s="23">
        <v>11</v>
      </c>
      <c r="G97" s="61">
        <v>9.5</v>
      </c>
      <c r="H97" s="61">
        <v>31.5</v>
      </c>
      <c r="I97" s="23">
        <f>F97*4+G97*9+H97*4</f>
        <v>255.5</v>
      </c>
      <c r="J97" s="23">
        <v>0.1</v>
      </c>
      <c r="K97" s="23">
        <v>0.3</v>
      </c>
      <c r="L97" s="23">
        <v>0.6</v>
      </c>
      <c r="M97" s="23">
        <v>0.13</v>
      </c>
      <c r="N97" s="23">
        <v>1.8</v>
      </c>
      <c r="O97" s="23">
        <v>18.600000000000001</v>
      </c>
      <c r="P97" s="23">
        <v>113.8</v>
      </c>
      <c r="Q97" s="23">
        <v>1.63</v>
      </c>
      <c r="R97" s="23">
        <v>0.01</v>
      </c>
      <c r="S97" s="23">
        <v>17.399999999999999</v>
      </c>
      <c r="T97" s="23">
        <v>0.6</v>
      </c>
    </row>
    <row r="98" spans="1:20" s="6" customFormat="1" ht="13.5" customHeight="1">
      <c r="A98" s="17">
        <v>376</v>
      </c>
      <c r="B98" s="167" t="s">
        <v>78</v>
      </c>
      <c r="C98" s="167"/>
      <c r="D98" s="24">
        <v>200</v>
      </c>
      <c r="E98" s="23">
        <v>2.35</v>
      </c>
      <c r="F98" s="23">
        <v>0.2</v>
      </c>
      <c r="G98" s="23">
        <v>0.05</v>
      </c>
      <c r="H98" s="23">
        <v>15.01</v>
      </c>
      <c r="I98" s="23">
        <f>F98*4+G98*9+H98*4</f>
        <v>61.29</v>
      </c>
      <c r="J98" s="23"/>
      <c r="K98" s="23">
        <v>0.01</v>
      </c>
      <c r="L98" s="23">
        <v>2.9</v>
      </c>
      <c r="M98" s="26">
        <v>0</v>
      </c>
      <c r="N98" s="23">
        <v>0.06</v>
      </c>
      <c r="O98" s="23">
        <v>8.0500000000000007</v>
      </c>
      <c r="P98" s="23">
        <v>9.7799999999999994</v>
      </c>
      <c r="Q98" s="23">
        <v>1.7000000000000001E-2</v>
      </c>
      <c r="R98" s="25">
        <v>0</v>
      </c>
      <c r="S98" s="23">
        <v>5.24</v>
      </c>
      <c r="T98" s="23">
        <v>0.87</v>
      </c>
    </row>
    <row r="99" spans="1:20" s="9" customFormat="1" ht="11.25" customHeight="1">
      <c r="A99" s="62" t="s">
        <v>49</v>
      </c>
      <c r="B99" s="63"/>
      <c r="C99" s="63"/>
      <c r="D99" s="39">
        <f t="shared" ref="D99:T99" si="20">SUM(D97:D98)</f>
        <v>275</v>
      </c>
      <c r="E99" s="40">
        <f t="shared" si="20"/>
        <v>30</v>
      </c>
      <c r="F99" s="41">
        <f t="shared" si="20"/>
        <v>11.2</v>
      </c>
      <c r="G99" s="42">
        <f t="shared" si="20"/>
        <v>9.5500000000000007</v>
      </c>
      <c r="H99" s="42">
        <f t="shared" si="20"/>
        <v>46.51</v>
      </c>
      <c r="I99" s="42">
        <f t="shared" si="20"/>
        <v>316.79000000000002</v>
      </c>
      <c r="J99" s="41">
        <f t="shared" si="20"/>
        <v>0.1</v>
      </c>
      <c r="K99" s="41">
        <f t="shared" si="20"/>
        <v>0.31</v>
      </c>
      <c r="L99" s="42">
        <f t="shared" si="20"/>
        <v>3.5</v>
      </c>
      <c r="M99" s="41">
        <f t="shared" si="20"/>
        <v>0.13</v>
      </c>
      <c r="N99" s="42">
        <f t="shared" si="20"/>
        <v>1.86</v>
      </c>
      <c r="O99" s="42">
        <f t="shared" si="20"/>
        <v>26.650000000000002</v>
      </c>
      <c r="P99" s="42">
        <f t="shared" si="20"/>
        <v>123.58</v>
      </c>
      <c r="Q99" s="42">
        <f t="shared" si="20"/>
        <v>1.6469999999999998</v>
      </c>
      <c r="R99" s="43">
        <f t="shared" si="20"/>
        <v>0.01</v>
      </c>
      <c r="S99" s="42">
        <f t="shared" si="20"/>
        <v>22.64</v>
      </c>
      <c r="T99" s="41">
        <f t="shared" si="20"/>
        <v>1.47</v>
      </c>
    </row>
    <row r="100" spans="1:20" s="9" customFormat="1" ht="11.25" customHeight="1">
      <c r="A100" s="181" t="s">
        <v>35</v>
      </c>
      <c r="B100" s="181"/>
      <c r="C100" s="181"/>
      <c r="D100" s="181"/>
      <c r="E100" s="44"/>
      <c r="F100" s="66">
        <f t="shared" ref="F100:T100" si="21">F99/F102</f>
        <v>0.12444444444444444</v>
      </c>
      <c r="G100" s="66">
        <f t="shared" si="21"/>
        <v>0.10380434782608697</v>
      </c>
      <c r="H100" s="66">
        <f t="shared" si="21"/>
        <v>0.12143603133159268</v>
      </c>
      <c r="I100" s="66">
        <f t="shared" si="21"/>
        <v>0.11646691176470589</v>
      </c>
      <c r="J100" s="66">
        <f t="shared" si="21"/>
        <v>7.1428571428571438E-2</v>
      </c>
      <c r="K100" s="66">
        <f t="shared" si="21"/>
        <v>0.19374999999999998</v>
      </c>
      <c r="L100" s="66">
        <f t="shared" si="21"/>
        <v>0.05</v>
      </c>
      <c r="M100" s="66">
        <f t="shared" si="21"/>
        <v>0.14444444444444446</v>
      </c>
      <c r="N100" s="66">
        <f t="shared" si="21"/>
        <v>0.155</v>
      </c>
      <c r="O100" s="66">
        <f t="shared" si="21"/>
        <v>2.2208333333333333E-2</v>
      </c>
      <c r="P100" s="66">
        <f t="shared" si="21"/>
        <v>0.10298333333333333</v>
      </c>
      <c r="Q100" s="66">
        <f t="shared" si="21"/>
        <v>0.11764285714285713</v>
      </c>
      <c r="R100" s="66">
        <f t="shared" si="21"/>
        <v>9.9999999999999992E-2</v>
      </c>
      <c r="S100" s="66">
        <f t="shared" si="21"/>
        <v>7.5466666666666668E-2</v>
      </c>
      <c r="T100" s="67">
        <f t="shared" si="21"/>
        <v>8.1666666666666665E-2</v>
      </c>
    </row>
    <row r="101" spans="1:20" s="9" customFormat="1" ht="11.25" customHeight="1">
      <c r="A101" s="171" t="s">
        <v>50</v>
      </c>
      <c r="B101" s="171"/>
      <c r="C101" s="171"/>
      <c r="D101" s="171"/>
      <c r="E101" s="44"/>
      <c r="F101" s="41">
        <f t="shared" ref="F101:T101" si="22">SUM(F85,F94,F99)</f>
        <v>54.800000000000011</v>
      </c>
      <c r="G101" s="42">
        <f t="shared" si="22"/>
        <v>50.100000000000009</v>
      </c>
      <c r="H101" s="42">
        <f t="shared" si="22"/>
        <v>177.68</v>
      </c>
      <c r="I101" s="42">
        <f t="shared" si="22"/>
        <v>1353.65</v>
      </c>
      <c r="J101" s="41">
        <f t="shared" si="22"/>
        <v>2.3320000000000003</v>
      </c>
      <c r="K101" s="41">
        <f t="shared" si="22"/>
        <v>3.2473333333333332</v>
      </c>
      <c r="L101" s="83">
        <f t="shared" si="22"/>
        <v>49.084999999999994</v>
      </c>
      <c r="M101" s="41">
        <f t="shared" si="22"/>
        <v>50.119</v>
      </c>
      <c r="N101" s="83">
        <f t="shared" si="22"/>
        <v>9.6869999999999994</v>
      </c>
      <c r="O101" s="42">
        <f t="shared" si="22"/>
        <v>386.55999999999995</v>
      </c>
      <c r="P101" s="42">
        <f t="shared" si="22"/>
        <v>909.11</v>
      </c>
      <c r="Q101" s="42">
        <f t="shared" si="22"/>
        <v>7.0600000000000005</v>
      </c>
      <c r="R101" s="43">
        <f t="shared" si="22"/>
        <v>1.7439166666666666</v>
      </c>
      <c r="S101" s="41">
        <f t="shared" si="22"/>
        <v>223.70299999999997</v>
      </c>
      <c r="T101" s="41">
        <f t="shared" si="22"/>
        <v>13.098000000000001</v>
      </c>
    </row>
    <row r="102" spans="1:20" s="9" customFormat="1" ht="11.25" customHeight="1">
      <c r="A102" s="171" t="s">
        <v>51</v>
      </c>
      <c r="B102" s="171"/>
      <c r="C102" s="171"/>
      <c r="D102" s="171"/>
      <c r="E102" s="44"/>
      <c r="F102" s="23">
        <v>90</v>
      </c>
      <c r="G102" s="61">
        <v>92</v>
      </c>
      <c r="H102" s="61">
        <v>383</v>
      </c>
      <c r="I102" s="61">
        <v>2720</v>
      </c>
      <c r="J102" s="23">
        <v>1.4</v>
      </c>
      <c r="K102" s="23">
        <v>1.6</v>
      </c>
      <c r="L102" s="24">
        <v>70</v>
      </c>
      <c r="M102" s="23">
        <v>0.9</v>
      </c>
      <c r="N102" s="24">
        <v>12</v>
      </c>
      <c r="O102" s="24">
        <v>1200</v>
      </c>
      <c r="P102" s="24">
        <v>1200</v>
      </c>
      <c r="Q102" s="24">
        <v>14</v>
      </c>
      <c r="R102" s="61">
        <v>0.1</v>
      </c>
      <c r="S102" s="24">
        <v>300</v>
      </c>
      <c r="T102" s="23">
        <v>18</v>
      </c>
    </row>
    <row r="103" spans="1:20" s="84" customFormat="1" ht="11.25" customHeight="1">
      <c r="A103" s="181" t="s">
        <v>35</v>
      </c>
      <c r="B103" s="181"/>
      <c r="C103" s="181"/>
      <c r="D103" s="181"/>
      <c r="E103" s="44"/>
      <c r="F103" s="66">
        <f t="shared" ref="F103:T103" si="23">F101/F102</f>
        <v>0.60888888888888903</v>
      </c>
      <c r="G103" s="67">
        <f t="shared" si="23"/>
        <v>0.54456521739130448</v>
      </c>
      <c r="H103" s="67">
        <f t="shared" si="23"/>
        <v>0.46391644908616192</v>
      </c>
      <c r="I103" s="67">
        <f t="shared" si="23"/>
        <v>0.4976654411764706</v>
      </c>
      <c r="J103" s="67">
        <f t="shared" si="23"/>
        <v>1.6657142857142859</v>
      </c>
      <c r="K103" s="67">
        <f t="shared" si="23"/>
        <v>2.0295833333333331</v>
      </c>
      <c r="L103" s="67">
        <f t="shared" si="23"/>
        <v>0.70121428571428568</v>
      </c>
      <c r="M103" s="68">
        <f t="shared" si="23"/>
        <v>55.687777777777775</v>
      </c>
      <c r="N103" s="67">
        <f t="shared" si="23"/>
        <v>0.80724999999999991</v>
      </c>
      <c r="O103" s="67">
        <f t="shared" si="23"/>
        <v>0.32213333333333327</v>
      </c>
      <c r="P103" s="67">
        <f t="shared" si="23"/>
        <v>0.75759166666666666</v>
      </c>
      <c r="Q103" s="67">
        <f t="shared" si="23"/>
        <v>0.50428571428571434</v>
      </c>
      <c r="R103" s="68">
        <f t="shared" si="23"/>
        <v>17.439166666666665</v>
      </c>
      <c r="S103" s="67">
        <f t="shared" si="23"/>
        <v>0.74567666666666654</v>
      </c>
      <c r="T103" s="68">
        <f t="shared" si="23"/>
        <v>0.72766666666666668</v>
      </c>
    </row>
    <row r="104" spans="1:20" s="9" customFormat="1" ht="11.25" customHeight="1">
      <c r="A104" s="4"/>
      <c r="B104" s="5"/>
      <c r="C104" s="5"/>
      <c r="D104" s="6"/>
      <c r="E104" s="7"/>
      <c r="F104" s="7"/>
      <c r="G104" s="6"/>
      <c r="H104" s="6"/>
      <c r="I104" s="6"/>
      <c r="J104" s="6"/>
      <c r="K104" s="6"/>
      <c r="L104" s="6"/>
      <c r="M104" s="160" t="s">
        <v>0</v>
      </c>
      <c r="N104" s="160"/>
      <c r="O104" s="160"/>
      <c r="P104" s="160"/>
      <c r="Q104" s="160"/>
      <c r="R104" s="160"/>
      <c r="S104" s="160"/>
      <c r="T104" s="160"/>
    </row>
    <row r="105" spans="1:20" s="9" customFormat="1" ht="11.25" customHeight="1">
      <c r="A105" s="180" t="s">
        <v>79</v>
      </c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</row>
    <row r="106" spans="1:20" s="9" customFormat="1" ht="11.25" customHeight="1">
      <c r="A106" s="10" t="s">
        <v>2</v>
      </c>
      <c r="B106" s="5"/>
      <c r="C106" s="5"/>
      <c r="D106" s="8"/>
      <c r="E106" s="11"/>
      <c r="F106" s="7"/>
      <c r="G106" s="162" t="s">
        <v>80</v>
      </c>
      <c r="H106" s="162"/>
      <c r="I106" s="162"/>
      <c r="J106" s="6"/>
      <c r="K106" s="6"/>
      <c r="L106" s="163"/>
      <c r="M106" s="163"/>
      <c r="N106" s="164"/>
      <c r="O106" s="164"/>
      <c r="P106" s="164"/>
      <c r="Q106" s="164"/>
      <c r="R106" s="6"/>
      <c r="S106" s="6"/>
      <c r="T106" s="6"/>
    </row>
    <row r="107" spans="1:20" s="9" customFormat="1" ht="11.25" customHeight="1">
      <c r="A107" s="5"/>
      <c r="B107" s="5"/>
      <c r="C107" s="5"/>
      <c r="D107" s="182" t="s">
        <v>4</v>
      </c>
      <c r="E107" s="182"/>
      <c r="F107" s="182"/>
      <c r="G107" s="12">
        <v>1</v>
      </c>
      <c r="H107" s="6"/>
      <c r="I107" s="8"/>
      <c r="J107" s="8"/>
      <c r="K107" s="8"/>
      <c r="L107" s="182"/>
      <c r="M107" s="182"/>
      <c r="N107" s="162"/>
      <c r="O107" s="162"/>
      <c r="P107" s="162"/>
      <c r="Q107" s="162"/>
      <c r="R107" s="162"/>
      <c r="S107" s="162"/>
      <c r="T107" s="162"/>
    </row>
    <row r="108" spans="1:20" s="9" customFormat="1" ht="21.75" customHeight="1">
      <c r="A108" s="165" t="s">
        <v>54</v>
      </c>
      <c r="B108" s="165" t="s">
        <v>55</v>
      </c>
      <c r="C108" s="165"/>
      <c r="D108" s="165" t="s">
        <v>7</v>
      </c>
      <c r="E108" s="86"/>
      <c r="F108" s="165" t="s">
        <v>8</v>
      </c>
      <c r="G108" s="165"/>
      <c r="H108" s="165"/>
      <c r="I108" s="165" t="s">
        <v>9</v>
      </c>
      <c r="J108" s="165" t="s">
        <v>10</v>
      </c>
      <c r="K108" s="165"/>
      <c r="L108" s="165"/>
      <c r="M108" s="165"/>
      <c r="N108" s="165"/>
      <c r="O108" s="165" t="s">
        <v>11</v>
      </c>
      <c r="P108" s="165"/>
      <c r="Q108" s="165"/>
      <c r="R108" s="165"/>
      <c r="S108" s="165"/>
      <c r="T108" s="165"/>
    </row>
    <row r="109" spans="1:20" s="9" customFormat="1" ht="21" customHeight="1">
      <c r="A109" s="165"/>
      <c r="B109" s="165"/>
      <c r="C109" s="165"/>
      <c r="D109" s="165"/>
      <c r="E109" s="15"/>
      <c r="F109" s="16" t="s">
        <v>12</v>
      </c>
      <c r="G109" s="13" t="s">
        <v>13</v>
      </c>
      <c r="H109" s="13" t="s">
        <v>14</v>
      </c>
      <c r="I109" s="165"/>
      <c r="J109" s="13" t="s">
        <v>15</v>
      </c>
      <c r="K109" s="13" t="s">
        <v>16</v>
      </c>
      <c r="L109" s="13" t="s">
        <v>17</v>
      </c>
      <c r="M109" s="13" t="s">
        <v>18</v>
      </c>
      <c r="N109" s="13" t="s">
        <v>19</v>
      </c>
      <c r="O109" s="13" t="s">
        <v>20</v>
      </c>
      <c r="P109" s="13" t="s">
        <v>21</v>
      </c>
      <c r="Q109" s="13" t="s">
        <v>22</v>
      </c>
      <c r="R109" s="13" t="s">
        <v>23</v>
      </c>
      <c r="S109" s="13" t="s">
        <v>24</v>
      </c>
      <c r="T109" s="13" t="s">
        <v>25</v>
      </c>
    </row>
    <row r="110" spans="1:20" s="9" customFormat="1" ht="11.25" customHeight="1">
      <c r="A110" s="17">
        <v>1</v>
      </c>
      <c r="B110" s="175">
        <v>2</v>
      </c>
      <c r="C110" s="175"/>
      <c r="D110" s="18">
        <v>3</v>
      </c>
      <c r="E110" s="19"/>
      <c r="F110" s="19">
        <v>4</v>
      </c>
      <c r="G110" s="18">
        <v>5</v>
      </c>
      <c r="H110" s="18">
        <v>6</v>
      </c>
      <c r="I110" s="18">
        <v>7</v>
      </c>
      <c r="J110" s="18">
        <v>8</v>
      </c>
      <c r="K110" s="18">
        <v>9</v>
      </c>
      <c r="L110" s="18">
        <v>10</v>
      </c>
      <c r="M110" s="18">
        <v>11</v>
      </c>
      <c r="N110" s="18">
        <v>12</v>
      </c>
      <c r="O110" s="18">
        <v>13</v>
      </c>
      <c r="P110" s="18">
        <v>14</v>
      </c>
      <c r="Q110" s="18">
        <v>15</v>
      </c>
      <c r="R110" s="18">
        <v>16</v>
      </c>
      <c r="S110" s="18">
        <v>17</v>
      </c>
      <c r="T110" s="18">
        <v>18</v>
      </c>
    </row>
    <row r="111" spans="1:20" s="9" customFormat="1" ht="11.25" customHeight="1">
      <c r="A111" s="176" t="s">
        <v>56</v>
      </c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</row>
    <row r="112" spans="1:20" s="9" customFormat="1" ht="11.25" customHeight="1">
      <c r="A112" s="140" t="s">
        <v>30</v>
      </c>
      <c r="B112" s="172" t="s">
        <v>100</v>
      </c>
      <c r="C112" s="172"/>
      <c r="D112" s="133">
        <v>30</v>
      </c>
      <c r="E112" s="132">
        <v>3.27</v>
      </c>
      <c r="F112" s="132">
        <v>0.44000000000000006</v>
      </c>
      <c r="G112" s="132">
        <v>0.08</v>
      </c>
      <c r="H112" s="132">
        <v>1.52</v>
      </c>
      <c r="I112" s="132">
        <v>8.56</v>
      </c>
      <c r="J112" s="136">
        <v>2.7000000000000003E-2</v>
      </c>
      <c r="K112" s="136">
        <v>3.2000000000000001E-2</v>
      </c>
      <c r="L112" s="132">
        <v>9.7330000000000005</v>
      </c>
      <c r="M112" s="132">
        <v>0.36</v>
      </c>
      <c r="N112" s="133">
        <v>1.8799999999999997</v>
      </c>
      <c r="O112" s="134">
        <v>24.4</v>
      </c>
      <c r="P112" s="134">
        <v>30.360000000000003</v>
      </c>
      <c r="Q112" s="132">
        <v>0.28000000000000003</v>
      </c>
      <c r="R112" s="136">
        <v>5.0000000000000001E-3</v>
      </c>
      <c r="S112" s="132">
        <v>10.199999999999999</v>
      </c>
      <c r="T112" s="132">
        <v>0.4</v>
      </c>
    </row>
    <row r="113" spans="1:20" s="6" customFormat="1" ht="22.5" customHeight="1">
      <c r="A113" s="17">
        <v>591</v>
      </c>
      <c r="B113" s="186" t="s">
        <v>120</v>
      </c>
      <c r="C113" s="187"/>
      <c r="D113" s="56" t="s">
        <v>121</v>
      </c>
      <c r="E113" s="23">
        <v>39.68</v>
      </c>
      <c r="F113" s="23">
        <v>5.86</v>
      </c>
      <c r="G113" s="23">
        <v>16.309999999999999</v>
      </c>
      <c r="H113" s="23">
        <v>3.07</v>
      </c>
      <c r="I113" s="23">
        <v>182.51</v>
      </c>
      <c r="J113" s="23">
        <v>0.14000000000000001</v>
      </c>
      <c r="K113" s="23">
        <v>0.05</v>
      </c>
      <c r="L113" s="23">
        <v>0.09</v>
      </c>
      <c r="M113" s="25">
        <v>0</v>
      </c>
      <c r="N113" s="26">
        <v>0</v>
      </c>
      <c r="O113" s="23">
        <v>9.5399999999999991</v>
      </c>
      <c r="P113" s="23">
        <v>63.38</v>
      </c>
      <c r="Q113" s="24">
        <v>1.1200000000000001</v>
      </c>
      <c r="R113" s="25">
        <v>2.5499999999999998</v>
      </c>
      <c r="S113" s="23">
        <v>11.3</v>
      </c>
      <c r="T113" s="23">
        <v>0.75</v>
      </c>
    </row>
    <row r="114" spans="1:20" s="6" customFormat="1" ht="24" customHeight="1">
      <c r="A114" s="17">
        <v>679</v>
      </c>
      <c r="B114" s="186" t="s">
        <v>123</v>
      </c>
      <c r="C114" s="174"/>
      <c r="D114" s="24">
        <v>180</v>
      </c>
      <c r="E114" s="23">
        <v>8.1199999999999992</v>
      </c>
      <c r="F114" s="29">
        <v>7.92</v>
      </c>
      <c r="G114" s="29">
        <v>6.86</v>
      </c>
      <c r="H114" s="29">
        <v>45.45</v>
      </c>
      <c r="I114" s="29">
        <v>275.39999999999998</v>
      </c>
      <c r="J114" s="29">
        <v>0.2</v>
      </c>
      <c r="K114" s="29">
        <v>3.5999999999999997E-2</v>
      </c>
      <c r="L114" s="29">
        <v>0</v>
      </c>
      <c r="M114" s="57">
        <v>25.2</v>
      </c>
      <c r="N114" s="29">
        <v>1.5</v>
      </c>
      <c r="O114" s="29">
        <v>19.96</v>
      </c>
      <c r="P114" s="29">
        <v>161.32</v>
      </c>
      <c r="Q114" s="29">
        <v>0.93600000000000005</v>
      </c>
      <c r="R114" s="57">
        <v>2E-3</v>
      </c>
      <c r="S114" s="29">
        <v>56.81</v>
      </c>
      <c r="T114" s="29">
        <v>1.85</v>
      </c>
    </row>
    <row r="115" spans="1:20" s="6" customFormat="1" ht="12" customHeight="1">
      <c r="A115" s="17">
        <v>379</v>
      </c>
      <c r="B115" s="167" t="s">
        <v>66</v>
      </c>
      <c r="C115" s="167"/>
      <c r="D115" s="24">
        <v>200</v>
      </c>
      <c r="E115" s="23">
        <v>13.81</v>
      </c>
      <c r="F115" s="23">
        <v>3.17</v>
      </c>
      <c r="G115" s="23">
        <v>2.68</v>
      </c>
      <c r="H115" s="23">
        <v>15.95</v>
      </c>
      <c r="I115" s="23">
        <f>F115*4+G115*9+H115*4</f>
        <v>100.6</v>
      </c>
      <c r="J115" s="26">
        <v>0.04</v>
      </c>
      <c r="K115" s="26">
        <v>0.15</v>
      </c>
      <c r="L115" s="61">
        <v>1.3</v>
      </c>
      <c r="M115" s="26">
        <v>0.03</v>
      </c>
      <c r="N115" s="26">
        <v>0.06</v>
      </c>
      <c r="O115" s="61">
        <v>120.4</v>
      </c>
      <c r="P115" s="61">
        <v>90</v>
      </c>
      <c r="Q115" s="61">
        <v>1.1000000000000001</v>
      </c>
      <c r="R115" s="61">
        <v>0.01</v>
      </c>
      <c r="S115" s="61">
        <v>14</v>
      </c>
      <c r="T115" s="23">
        <v>0.12</v>
      </c>
    </row>
    <row r="116" spans="1:20" s="6" customFormat="1" ht="11.25" customHeight="1">
      <c r="A116" s="32" t="s">
        <v>30</v>
      </c>
      <c r="B116" s="167" t="s">
        <v>59</v>
      </c>
      <c r="C116" s="167"/>
      <c r="D116" s="24">
        <v>40</v>
      </c>
      <c r="E116" s="23">
        <v>2.6</v>
      </c>
      <c r="F116" s="23">
        <f>1.52*D116/30</f>
        <v>2.0266666666666664</v>
      </c>
      <c r="G116" s="25">
        <f>0.16*D116/30</f>
        <v>0.21333333333333335</v>
      </c>
      <c r="H116" s="25">
        <f>9.84*D116/30</f>
        <v>13.120000000000001</v>
      </c>
      <c r="I116" s="25">
        <f>F116*4+G116*9+H116*4</f>
        <v>62.506666666666668</v>
      </c>
      <c r="J116" s="25">
        <f>0.02*D116/30</f>
        <v>2.6666666666666668E-2</v>
      </c>
      <c r="K116" s="25">
        <f>0.01*D116/30</f>
        <v>1.3333333333333334E-2</v>
      </c>
      <c r="L116" s="25">
        <f>0.44*D116/30</f>
        <v>0.58666666666666667</v>
      </c>
      <c r="M116" s="25">
        <v>0</v>
      </c>
      <c r="N116" s="25">
        <f>0.7*D116/30</f>
        <v>0.93333333333333335</v>
      </c>
      <c r="O116" s="25">
        <f>4*D116/30</f>
        <v>5.333333333333333</v>
      </c>
      <c r="P116" s="25">
        <f>13*D116/30</f>
        <v>17.333333333333332</v>
      </c>
      <c r="Q116" s="25">
        <f>0.008*D116/30</f>
        <v>1.0666666666666666E-2</v>
      </c>
      <c r="R116" s="25">
        <f>0.001*D116/30</f>
        <v>1.3333333333333333E-3</v>
      </c>
      <c r="S116" s="25">
        <v>0</v>
      </c>
      <c r="T116" s="25">
        <f>0.22*D116/30</f>
        <v>0.29333333333333333</v>
      </c>
    </row>
    <row r="117" spans="1:20" s="6" customFormat="1" ht="11.25" customHeight="1">
      <c r="A117" s="62" t="s">
        <v>60</v>
      </c>
      <c r="B117" s="63"/>
      <c r="C117" s="63"/>
      <c r="D117" s="39">
        <v>560</v>
      </c>
      <c r="E117" s="40">
        <f>SUM(E112:E116)</f>
        <v>67.47999999999999</v>
      </c>
      <c r="F117" s="41">
        <f t="shared" ref="F117:T117" si="24">SUM(F113:F116)</f>
        <v>18.97666666666667</v>
      </c>
      <c r="G117" s="42">
        <f t="shared" si="24"/>
        <v>26.063333333333333</v>
      </c>
      <c r="H117" s="42">
        <f t="shared" si="24"/>
        <v>77.59</v>
      </c>
      <c r="I117" s="42">
        <f t="shared" si="24"/>
        <v>621.01666666666665</v>
      </c>
      <c r="J117" s="41">
        <f t="shared" si="24"/>
        <v>0.40666666666666668</v>
      </c>
      <c r="K117" s="41">
        <f t="shared" si="24"/>
        <v>0.24933333333333332</v>
      </c>
      <c r="L117" s="41">
        <f t="shared" si="24"/>
        <v>1.9766666666666668</v>
      </c>
      <c r="M117" s="43">
        <f t="shared" si="24"/>
        <v>25.23</v>
      </c>
      <c r="N117" s="41">
        <f t="shared" si="24"/>
        <v>2.4933333333333332</v>
      </c>
      <c r="O117" s="42">
        <f t="shared" si="24"/>
        <v>155.23333333333335</v>
      </c>
      <c r="P117" s="42">
        <f t="shared" si="24"/>
        <v>332.0333333333333</v>
      </c>
      <c r="Q117" s="41">
        <f t="shared" si="24"/>
        <v>3.166666666666667</v>
      </c>
      <c r="R117" s="43">
        <f t="shared" si="24"/>
        <v>2.5633333333333326</v>
      </c>
      <c r="S117" s="42">
        <f t="shared" si="24"/>
        <v>82.11</v>
      </c>
      <c r="T117" s="41">
        <f t="shared" si="24"/>
        <v>3.0133333333333336</v>
      </c>
    </row>
    <row r="118" spans="1:20" s="6" customFormat="1" ht="11.25" customHeight="1">
      <c r="A118" s="181" t="s">
        <v>35</v>
      </c>
      <c r="B118" s="181"/>
      <c r="C118" s="181"/>
      <c r="D118" s="181"/>
      <c r="E118" s="80"/>
      <c r="F118" s="92">
        <f t="shared" ref="F118:T118" si="25">F117/F135</f>
        <v>0.2108518518518519</v>
      </c>
      <c r="G118" s="66">
        <f t="shared" si="25"/>
        <v>0.28329710144927533</v>
      </c>
      <c r="H118" s="66">
        <f t="shared" si="25"/>
        <v>0.20258485639686685</v>
      </c>
      <c r="I118" s="66">
        <f t="shared" si="25"/>
        <v>0.22831495098039215</v>
      </c>
      <c r="J118" s="66">
        <f t="shared" si="25"/>
        <v>0.2904761904761905</v>
      </c>
      <c r="K118" s="66">
        <f t="shared" si="25"/>
        <v>0.15583333333333332</v>
      </c>
      <c r="L118" s="66">
        <f t="shared" si="25"/>
        <v>2.8238095238095239E-2</v>
      </c>
      <c r="M118" s="66">
        <f t="shared" si="25"/>
        <v>28.033333333333331</v>
      </c>
      <c r="N118" s="66">
        <f t="shared" si="25"/>
        <v>0.20777777777777776</v>
      </c>
      <c r="O118" s="67">
        <f t="shared" si="25"/>
        <v>0.12936111111111112</v>
      </c>
      <c r="P118" s="66">
        <f t="shared" si="25"/>
        <v>0.27669444444444441</v>
      </c>
      <c r="Q118" s="66">
        <f t="shared" si="25"/>
        <v>0.22619047619047622</v>
      </c>
      <c r="R118" s="66">
        <f t="shared" si="25"/>
        <v>25.633333333333326</v>
      </c>
      <c r="S118" s="66">
        <f t="shared" si="25"/>
        <v>0.2737</v>
      </c>
      <c r="T118" s="67">
        <f t="shared" si="25"/>
        <v>0.16740740740740742</v>
      </c>
    </row>
    <row r="119" spans="1:20" s="6" customFormat="1" ht="11.25" customHeight="1">
      <c r="A119" s="176" t="s">
        <v>36</v>
      </c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</row>
    <row r="120" spans="1:20" s="6" customFormat="1" ht="22.5" customHeight="1">
      <c r="A120" s="51" t="s">
        <v>37</v>
      </c>
      <c r="B120" s="166" t="s">
        <v>38</v>
      </c>
      <c r="C120" s="166"/>
      <c r="D120" s="52">
        <v>60</v>
      </c>
      <c r="E120" s="53">
        <v>2.82</v>
      </c>
      <c r="F120" s="53">
        <v>0.9</v>
      </c>
      <c r="G120" s="53">
        <v>1.31</v>
      </c>
      <c r="H120" s="53">
        <v>5.6</v>
      </c>
      <c r="I120" s="53">
        <v>37.79</v>
      </c>
      <c r="J120" s="54">
        <v>0.06</v>
      </c>
      <c r="K120" s="53">
        <v>7.0000000000000007E-2</v>
      </c>
      <c r="L120" s="55">
        <v>15.5</v>
      </c>
      <c r="M120" s="54">
        <v>7.0999999999999994E-2</v>
      </c>
      <c r="N120" s="52">
        <v>0.3</v>
      </c>
      <c r="O120" s="53">
        <v>28.2</v>
      </c>
      <c r="P120" s="53">
        <v>18.899999999999999</v>
      </c>
      <c r="Q120" s="54">
        <v>0.2</v>
      </c>
      <c r="R120" s="54">
        <v>1E-3</v>
      </c>
      <c r="S120" s="53">
        <v>10.5</v>
      </c>
      <c r="T120" s="53">
        <v>0.6</v>
      </c>
    </row>
    <row r="121" spans="1:20" s="6" customFormat="1" ht="15" customHeight="1">
      <c r="A121" s="17">
        <v>96</v>
      </c>
      <c r="B121" s="167" t="s">
        <v>81</v>
      </c>
      <c r="C121" s="167"/>
      <c r="D121" s="24">
        <v>250</v>
      </c>
      <c r="E121" s="23">
        <v>15.31</v>
      </c>
      <c r="F121" s="29">
        <v>2.6</v>
      </c>
      <c r="G121" s="29">
        <v>6.13</v>
      </c>
      <c r="H121" s="29">
        <v>17.03</v>
      </c>
      <c r="I121" s="29">
        <v>133.69</v>
      </c>
      <c r="J121" s="57">
        <v>0.12</v>
      </c>
      <c r="K121" s="57">
        <v>7.3999999999999996E-2</v>
      </c>
      <c r="L121" s="29">
        <v>16</v>
      </c>
      <c r="M121" s="29">
        <v>0.04</v>
      </c>
      <c r="N121" s="30">
        <v>25.3</v>
      </c>
      <c r="O121" s="29">
        <v>25.3</v>
      </c>
      <c r="P121" s="29">
        <v>71.099999999999994</v>
      </c>
      <c r="Q121" s="57">
        <v>0.38</v>
      </c>
      <c r="R121" s="57">
        <v>3.0000000000000001E-3</v>
      </c>
      <c r="S121" s="29">
        <v>26.7</v>
      </c>
      <c r="T121" s="29">
        <v>0.95</v>
      </c>
    </row>
    <row r="122" spans="1:20" s="6" customFormat="1" ht="23.25" customHeight="1">
      <c r="A122" s="17">
        <v>266</v>
      </c>
      <c r="B122" s="167" t="s">
        <v>82</v>
      </c>
      <c r="C122" s="167"/>
      <c r="D122" s="24">
        <v>80</v>
      </c>
      <c r="E122" s="23">
        <v>34.020000000000003</v>
      </c>
      <c r="F122" s="29">
        <v>12.976249999999999</v>
      </c>
      <c r="G122" s="29">
        <v>18.103750000000002</v>
      </c>
      <c r="H122" s="29">
        <v>3.3337499999999998</v>
      </c>
      <c r="I122" s="29">
        <v>228.17375000000001</v>
      </c>
      <c r="J122" s="29">
        <v>0.1575</v>
      </c>
      <c r="K122" s="29">
        <v>0.18375</v>
      </c>
      <c r="L122" s="29">
        <v>0.37624999999999997</v>
      </c>
      <c r="M122" s="29">
        <v>3.5000000000000003E-2</v>
      </c>
      <c r="N122" s="30">
        <v>5.2500000000000005E-2</v>
      </c>
      <c r="O122" s="31">
        <v>42.393749999999997</v>
      </c>
      <c r="P122" s="31">
        <v>155.67124999999999</v>
      </c>
      <c r="Q122" s="29">
        <v>1.9949999999999999</v>
      </c>
      <c r="R122" s="57">
        <v>3.5000000000000003E-2</v>
      </c>
      <c r="S122" s="31">
        <v>21.393750000000001</v>
      </c>
      <c r="T122" s="29">
        <v>1.68875</v>
      </c>
    </row>
    <row r="123" spans="1:20" s="6" customFormat="1" ht="25.5" customHeight="1">
      <c r="A123" s="155">
        <v>202</v>
      </c>
      <c r="B123" s="186" t="s">
        <v>41</v>
      </c>
      <c r="C123" s="174"/>
      <c r="D123" s="143">
        <v>180</v>
      </c>
      <c r="E123" s="144">
        <v>7.93</v>
      </c>
      <c r="F123" s="29">
        <v>6.84</v>
      </c>
      <c r="G123" s="29">
        <v>4.1159999999999997</v>
      </c>
      <c r="H123" s="29">
        <v>43.74</v>
      </c>
      <c r="I123" s="29">
        <v>239.364</v>
      </c>
      <c r="J123" s="29">
        <v>0.108</v>
      </c>
      <c r="K123" s="29">
        <v>3.5999999999999997E-2</v>
      </c>
      <c r="L123" s="29">
        <v>0</v>
      </c>
      <c r="M123" s="57">
        <v>3.5999999999999997E-2</v>
      </c>
      <c r="N123" s="29">
        <v>1.5</v>
      </c>
      <c r="O123" s="29">
        <v>15.936</v>
      </c>
      <c r="P123" s="29">
        <v>55.451999999999998</v>
      </c>
      <c r="Q123" s="29">
        <v>0.93600000000000005</v>
      </c>
      <c r="R123" s="57">
        <v>2E-3</v>
      </c>
      <c r="S123" s="29">
        <v>10.164</v>
      </c>
      <c r="T123" s="29">
        <v>1.032</v>
      </c>
    </row>
    <row r="124" spans="1:20" s="6" customFormat="1" ht="30" customHeight="1">
      <c r="A124" s="32">
        <v>349</v>
      </c>
      <c r="B124" s="167" t="s">
        <v>42</v>
      </c>
      <c r="C124" s="167"/>
      <c r="D124" s="24">
        <v>200</v>
      </c>
      <c r="E124" s="23">
        <v>5.76</v>
      </c>
      <c r="F124" s="29">
        <v>0.2</v>
      </c>
      <c r="G124" s="30">
        <v>0</v>
      </c>
      <c r="H124" s="29">
        <v>24.42</v>
      </c>
      <c r="I124" s="29">
        <v>98.56</v>
      </c>
      <c r="J124" s="30">
        <v>0</v>
      </c>
      <c r="K124" s="30">
        <v>0</v>
      </c>
      <c r="L124" s="29">
        <v>26.11</v>
      </c>
      <c r="M124" s="30">
        <v>0</v>
      </c>
      <c r="N124" s="30">
        <v>0</v>
      </c>
      <c r="O124" s="31">
        <v>22.6</v>
      </c>
      <c r="P124" s="31">
        <v>7.7</v>
      </c>
      <c r="Q124" s="58">
        <v>0</v>
      </c>
      <c r="R124" s="58">
        <v>0</v>
      </c>
      <c r="S124" s="31">
        <v>3</v>
      </c>
      <c r="T124" s="29">
        <v>0.66</v>
      </c>
    </row>
    <row r="125" spans="1:20" s="6" customFormat="1" ht="11.25" customHeight="1">
      <c r="A125" s="59" t="s">
        <v>30</v>
      </c>
      <c r="B125" s="167" t="s">
        <v>43</v>
      </c>
      <c r="C125" s="167"/>
      <c r="D125" s="24">
        <v>50</v>
      </c>
      <c r="E125" s="23">
        <v>2.35</v>
      </c>
      <c r="F125" s="23">
        <f>2.64*D125/40</f>
        <v>3.3</v>
      </c>
      <c r="G125" s="23">
        <f>0.48*D125/40</f>
        <v>0.6</v>
      </c>
      <c r="H125" s="23">
        <f>13.68*D125/40</f>
        <v>17.100000000000001</v>
      </c>
      <c r="I125" s="61">
        <f>F125*4+G125*9+H125*4</f>
        <v>87</v>
      </c>
      <c r="J125" s="26">
        <f>0.08*D125/40</f>
        <v>0.1</v>
      </c>
      <c r="K125" s="23">
        <f>0.04*D125/40</f>
        <v>0.05</v>
      </c>
      <c r="L125" s="24">
        <v>0</v>
      </c>
      <c r="M125" s="24">
        <v>0</v>
      </c>
      <c r="N125" s="23">
        <f>2.4*D125/40</f>
        <v>3</v>
      </c>
      <c r="O125" s="23">
        <f>14*D125/40</f>
        <v>17.5</v>
      </c>
      <c r="P125" s="23">
        <f>63.2*D125/40</f>
        <v>79</v>
      </c>
      <c r="Q125" s="23">
        <f>1.2*D125/40</f>
        <v>1.5</v>
      </c>
      <c r="R125" s="25">
        <f>0.001*D125/40</f>
        <v>1.25E-3</v>
      </c>
      <c r="S125" s="23">
        <f>9.4*D125/40</f>
        <v>11.75</v>
      </c>
      <c r="T125" s="26">
        <f>0.78*D125/40</f>
        <v>0.97499999999999998</v>
      </c>
    </row>
    <row r="126" spans="1:20" s="6" customFormat="1" ht="11.25" customHeight="1">
      <c r="A126" s="77" t="s">
        <v>30</v>
      </c>
      <c r="B126" s="167" t="s">
        <v>33</v>
      </c>
      <c r="C126" s="167"/>
      <c r="D126" s="24">
        <v>20</v>
      </c>
      <c r="E126" s="23">
        <v>11.81</v>
      </c>
      <c r="F126" s="33">
        <v>0.65</v>
      </c>
      <c r="G126" s="34">
        <v>3.8</v>
      </c>
      <c r="H126" s="35">
        <v>17.600000000000001</v>
      </c>
      <c r="I126" s="33">
        <v>38</v>
      </c>
      <c r="J126" s="33">
        <v>2.5999999999999999E-2</v>
      </c>
      <c r="K126" s="33">
        <v>0.03</v>
      </c>
      <c r="L126" s="33">
        <v>0.13</v>
      </c>
      <c r="M126" s="33">
        <v>11.96</v>
      </c>
      <c r="N126" s="34">
        <v>0.39</v>
      </c>
      <c r="O126" s="33">
        <v>24.18</v>
      </c>
      <c r="P126" s="33">
        <v>49.4</v>
      </c>
      <c r="Q126" s="36">
        <v>0.2</v>
      </c>
      <c r="R126" s="33">
        <v>2E-3</v>
      </c>
      <c r="S126" s="33">
        <v>18.72</v>
      </c>
      <c r="T126" s="33">
        <v>0.182</v>
      </c>
    </row>
    <row r="127" spans="1:20" s="6" customFormat="1" ht="11.25" customHeight="1">
      <c r="A127" s="62" t="s">
        <v>45</v>
      </c>
      <c r="B127" s="63"/>
      <c r="C127" s="63"/>
      <c r="D127" s="39">
        <f>SUM(D120:D126)</f>
        <v>840</v>
      </c>
      <c r="E127" s="40">
        <f>SUM(E120:E126)</f>
        <v>80</v>
      </c>
      <c r="F127" s="41">
        <f t="shared" ref="F127:T127" si="26">SUM(F120:F125)</f>
        <v>26.81625</v>
      </c>
      <c r="G127" s="42">
        <f t="shared" si="26"/>
        <v>30.259750000000004</v>
      </c>
      <c r="H127" s="83">
        <f t="shared" si="26"/>
        <v>111.22375</v>
      </c>
      <c r="I127" s="42">
        <f t="shared" si="26"/>
        <v>824.57774999999992</v>
      </c>
      <c r="J127" s="42">
        <f t="shared" si="26"/>
        <v>0.54549999999999998</v>
      </c>
      <c r="K127" s="42">
        <f t="shared" si="26"/>
        <v>0.41374999999999995</v>
      </c>
      <c r="L127" s="42">
        <f t="shared" si="26"/>
        <v>57.986249999999998</v>
      </c>
      <c r="M127" s="41">
        <f t="shared" si="26"/>
        <v>0.182</v>
      </c>
      <c r="N127" s="41">
        <f t="shared" si="26"/>
        <v>30.1525</v>
      </c>
      <c r="O127" s="83">
        <f t="shared" si="26"/>
        <v>151.92974999999998</v>
      </c>
      <c r="P127" s="42">
        <f t="shared" si="26"/>
        <v>387.82324999999997</v>
      </c>
      <c r="Q127" s="43">
        <f t="shared" si="26"/>
        <v>5.0110000000000001</v>
      </c>
      <c r="R127" s="43">
        <f t="shared" si="26"/>
        <v>4.225000000000001E-2</v>
      </c>
      <c r="S127" s="42">
        <f t="shared" si="26"/>
        <v>83.507750000000001</v>
      </c>
      <c r="T127" s="41">
        <f t="shared" si="26"/>
        <v>5.9057499999999994</v>
      </c>
    </row>
    <row r="128" spans="1:20" s="6" customFormat="1" ht="11.25" customHeight="1">
      <c r="A128" s="181" t="s">
        <v>35</v>
      </c>
      <c r="B128" s="181"/>
      <c r="C128" s="181"/>
      <c r="D128" s="181"/>
      <c r="E128" s="80"/>
      <c r="F128" s="92">
        <f t="shared" ref="F128:T128" si="27">F127/F135</f>
        <v>0.29795833333333333</v>
      </c>
      <c r="G128" s="66">
        <f t="shared" si="27"/>
        <v>0.32891032608695658</v>
      </c>
      <c r="H128" s="66">
        <f t="shared" si="27"/>
        <v>0.29040143603133156</v>
      </c>
      <c r="I128" s="66">
        <f t="shared" si="27"/>
        <v>0.30315358455882352</v>
      </c>
      <c r="J128" s="66">
        <f t="shared" si="27"/>
        <v>0.38964285714285718</v>
      </c>
      <c r="K128" s="66">
        <f t="shared" si="27"/>
        <v>0.25859374999999996</v>
      </c>
      <c r="L128" s="66">
        <f t="shared" si="27"/>
        <v>0.82837499999999997</v>
      </c>
      <c r="M128" s="66">
        <f t="shared" si="27"/>
        <v>0.20222222222222222</v>
      </c>
      <c r="N128" s="66">
        <f t="shared" si="27"/>
        <v>2.5127083333333333</v>
      </c>
      <c r="O128" s="67">
        <f t="shared" si="27"/>
        <v>0.12660812499999999</v>
      </c>
      <c r="P128" s="66">
        <f t="shared" si="27"/>
        <v>0.32318604166666665</v>
      </c>
      <c r="Q128" s="66">
        <f t="shared" si="27"/>
        <v>0.35792857142857143</v>
      </c>
      <c r="R128" s="66">
        <f t="shared" si="27"/>
        <v>0.4225000000000001</v>
      </c>
      <c r="S128" s="66">
        <f t="shared" si="27"/>
        <v>0.27835916666666666</v>
      </c>
      <c r="T128" s="67">
        <f t="shared" si="27"/>
        <v>0.32809722222222221</v>
      </c>
    </row>
    <row r="129" spans="1:20" s="6" customFormat="1" ht="11.25" customHeight="1">
      <c r="A129" s="176" t="s">
        <v>46</v>
      </c>
      <c r="B129" s="176"/>
      <c r="C129" s="176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76"/>
      <c r="Q129" s="176"/>
      <c r="R129" s="176"/>
      <c r="S129" s="176"/>
      <c r="T129" s="176"/>
    </row>
    <row r="130" spans="1:20" s="6" customFormat="1" ht="12" customHeight="1">
      <c r="A130" s="17"/>
      <c r="B130" s="167" t="s">
        <v>83</v>
      </c>
      <c r="C130" s="167"/>
      <c r="D130" s="24">
        <v>75</v>
      </c>
      <c r="E130" s="23">
        <v>24.9</v>
      </c>
      <c r="F130" s="23">
        <v>11</v>
      </c>
      <c r="G130" s="61">
        <v>9.5</v>
      </c>
      <c r="H130" s="61">
        <v>31.5</v>
      </c>
      <c r="I130" s="23">
        <f>F130*4+G130*9+H130*4</f>
        <v>255.5</v>
      </c>
      <c r="J130" s="23">
        <v>0.1</v>
      </c>
      <c r="K130" s="23">
        <v>0.3</v>
      </c>
      <c r="L130" s="23">
        <v>0.6</v>
      </c>
      <c r="M130" s="23">
        <v>0.13</v>
      </c>
      <c r="N130" s="23">
        <v>1.8</v>
      </c>
      <c r="O130" s="23">
        <v>18.600000000000001</v>
      </c>
      <c r="P130" s="23">
        <v>113.8</v>
      </c>
      <c r="Q130" s="23">
        <v>1.63</v>
      </c>
      <c r="R130" s="23">
        <v>0.01</v>
      </c>
      <c r="S130" s="23">
        <v>17.399999999999999</v>
      </c>
      <c r="T130" s="23">
        <v>0.6</v>
      </c>
    </row>
    <row r="131" spans="1:20" s="6" customFormat="1" ht="18.75" customHeight="1">
      <c r="A131" s="17">
        <v>345</v>
      </c>
      <c r="B131" s="167" t="s">
        <v>64</v>
      </c>
      <c r="C131" s="167"/>
      <c r="D131" s="24">
        <v>200</v>
      </c>
      <c r="E131" s="23">
        <v>5.0999999999999996</v>
      </c>
      <c r="F131" s="29">
        <v>0.06</v>
      </c>
      <c r="G131" s="29">
        <v>0.02</v>
      </c>
      <c r="H131" s="29">
        <v>20.73</v>
      </c>
      <c r="I131" s="29">
        <v>83.34</v>
      </c>
      <c r="J131" s="30">
        <v>0</v>
      </c>
      <c r="K131" s="30">
        <v>0</v>
      </c>
      <c r="L131" s="31">
        <v>2.5</v>
      </c>
      <c r="M131" s="30">
        <v>4.0000000000000001E-3</v>
      </c>
      <c r="N131" s="30">
        <v>0.2</v>
      </c>
      <c r="O131" s="31">
        <v>4</v>
      </c>
      <c r="P131" s="31">
        <v>3.3</v>
      </c>
      <c r="Q131" s="31">
        <v>0.08</v>
      </c>
      <c r="R131" s="31">
        <v>1E-3</v>
      </c>
      <c r="S131" s="31">
        <v>1.7</v>
      </c>
      <c r="T131" s="29">
        <v>0.15</v>
      </c>
    </row>
    <row r="132" spans="1:20" s="9" customFormat="1" ht="11.25" customHeight="1">
      <c r="A132" s="62" t="s">
        <v>49</v>
      </c>
      <c r="B132" s="63"/>
      <c r="C132" s="63"/>
      <c r="D132" s="39">
        <f t="shared" ref="D132:T132" si="28">SUM(D130:D131)</f>
        <v>275</v>
      </c>
      <c r="E132" s="40">
        <f t="shared" si="28"/>
        <v>30</v>
      </c>
      <c r="F132" s="40">
        <f t="shared" si="28"/>
        <v>11.06</v>
      </c>
      <c r="G132" s="40">
        <f t="shared" si="28"/>
        <v>9.52</v>
      </c>
      <c r="H132" s="40">
        <f t="shared" si="28"/>
        <v>52.230000000000004</v>
      </c>
      <c r="I132" s="40">
        <f t="shared" si="28"/>
        <v>338.84000000000003</v>
      </c>
      <c r="J132" s="40">
        <f t="shared" si="28"/>
        <v>0.1</v>
      </c>
      <c r="K132" s="40">
        <f t="shared" si="28"/>
        <v>0.3</v>
      </c>
      <c r="L132" s="40">
        <f t="shared" si="28"/>
        <v>3.1</v>
      </c>
      <c r="M132" s="40">
        <f t="shared" si="28"/>
        <v>0.13400000000000001</v>
      </c>
      <c r="N132" s="40">
        <f t="shared" si="28"/>
        <v>2</v>
      </c>
      <c r="O132" s="40">
        <f t="shared" si="28"/>
        <v>22.6</v>
      </c>
      <c r="P132" s="40">
        <f t="shared" si="28"/>
        <v>117.1</v>
      </c>
      <c r="Q132" s="40">
        <f t="shared" si="28"/>
        <v>1.71</v>
      </c>
      <c r="R132" s="40">
        <f t="shared" si="28"/>
        <v>1.0999999999999999E-2</v>
      </c>
      <c r="S132" s="40">
        <f t="shared" si="28"/>
        <v>19.099999999999998</v>
      </c>
      <c r="T132" s="40">
        <f t="shared" si="28"/>
        <v>0.75</v>
      </c>
    </row>
    <row r="133" spans="1:20" s="9" customFormat="1" ht="11.25" customHeight="1">
      <c r="A133" s="181" t="s">
        <v>35</v>
      </c>
      <c r="B133" s="181"/>
      <c r="C133" s="181"/>
      <c r="D133" s="181"/>
      <c r="E133" s="44"/>
      <c r="F133" s="66">
        <f t="shared" ref="F133:T133" si="29">F132/F135</f>
        <v>0.12288888888888889</v>
      </c>
      <c r="G133" s="66">
        <f t="shared" si="29"/>
        <v>0.10347826086956521</v>
      </c>
      <c r="H133" s="66">
        <f t="shared" si="29"/>
        <v>0.13637075718015668</v>
      </c>
      <c r="I133" s="66">
        <f t="shared" si="29"/>
        <v>0.12457352941176472</v>
      </c>
      <c r="J133" s="66">
        <f t="shared" si="29"/>
        <v>7.1428571428571438E-2</v>
      </c>
      <c r="K133" s="66">
        <f t="shared" si="29"/>
        <v>0.18749999999999997</v>
      </c>
      <c r="L133" s="66">
        <f t="shared" si="29"/>
        <v>4.4285714285714289E-2</v>
      </c>
      <c r="M133" s="66">
        <f t="shared" si="29"/>
        <v>0.1488888888888889</v>
      </c>
      <c r="N133" s="66">
        <f t="shared" si="29"/>
        <v>0.16666666666666666</v>
      </c>
      <c r="O133" s="66">
        <f t="shared" si="29"/>
        <v>1.8833333333333334E-2</v>
      </c>
      <c r="P133" s="66">
        <f t="shared" si="29"/>
        <v>9.7583333333333327E-2</v>
      </c>
      <c r="Q133" s="66">
        <f t="shared" si="29"/>
        <v>0.12214285714285714</v>
      </c>
      <c r="R133" s="66">
        <f t="shared" si="29"/>
        <v>0.10999999999999999</v>
      </c>
      <c r="S133" s="66">
        <f t="shared" si="29"/>
        <v>6.3666666666666663E-2</v>
      </c>
      <c r="T133" s="67">
        <f t="shared" si="29"/>
        <v>4.1666666666666664E-2</v>
      </c>
    </row>
    <row r="134" spans="1:20" s="9" customFormat="1" ht="11.25" customHeight="1">
      <c r="A134" s="171" t="s">
        <v>50</v>
      </c>
      <c r="B134" s="171"/>
      <c r="C134" s="171"/>
      <c r="D134" s="171"/>
      <c r="E134" s="44"/>
      <c r="F134" s="41">
        <f t="shared" ref="F134:T134" si="30">SUM(F117,F127,F132)</f>
        <v>56.852916666666673</v>
      </c>
      <c r="G134" s="42">
        <f t="shared" si="30"/>
        <v>65.84308333333334</v>
      </c>
      <c r="H134" s="42">
        <f t="shared" si="30"/>
        <v>241.04374999999999</v>
      </c>
      <c r="I134" s="42">
        <f t="shared" si="30"/>
        <v>1784.4344166666665</v>
      </c>
      <c r="J134" s="41">
        <f t="shared" si="30"/>
        <v>1.0521666666666667</v>
      </c>
      <c r="K134" s="41">
        <f t="shared" si="30"/>
        <v>0.96308333333333329</v>
      </c>
      <c r="L134" s="42">
        <f t="shared" si="30"/>
        <v>63.062916666666666</v>
      </c>
      <c r="M134" s="41">
        <f t="shared" si="30"/>
        <v>25.545999999999999</v>
      </c>
      <c r="N134" s="41">
        <f t="shared" si="30"/>
        <v>34.645833333333336</v>
      </c>
      <c r="O134" s="42">
        <f t="shared" si="30"/>
        <v>329.76308333333338</v>
      </c>
      <c r="P134" s="42">
        <f t="shared" si="30"/>
        <v>836.95658333333324</v>
      </c>
      <c r="Q134" s="41">
        <f t="shared" si="30"/>
        <v>9.8876666666666679</v>
      </c>
      <c r="R134" s="43">
        <f t="shared" si="30"/>
        <v>2.6165833333333328</v>
      </c>
      <c r="S134" s="41">
        <f t="shared" si="30"/>
        <v>184.71775</v>
      </c>
      <c r="T134" s="41">
        <f t="shared" si="30"/>
        <v>9.669083333333333</v>
      </c>
    </row>
    <row r="135" spans="1:20" s="9" customFormat="1" ht="11.25" customHeight="1">
      <c r="A135" s="171" t="s">
        <v>51</v>
      </c>
      <c r="B135" s="171"/>
      <c r="C135" s="171"/>
      <c r="D135" s="171"/>
      <c r="E135" s="44"/>
      <c r="F135" s="23">
        <v>90</v>
      </c>
      <c r="G135" s="61">
        <v>92</v>
      </c>
      <c r="H135" s="61">
        <v>383</v>
      </c>
      <c r="I135" s="61">
        <v>2720</v>
      </c>
      <c r="J135" s="23">
        <v>1.4</v>
      </c>
      <c r="K135" s="23">
        <v>1.6</v>
      </c>
      <c r="L135" s="24">
        <v>70</v>
      </c>
      <c r="M135" s="23">
        <v>0.9</v>
      </c>
      <c r="N135" s="24">
        <v>12</v>
      </c>
      <c r="O135" s="24">
        <v>1200</v>
      </c>
      <c r="P135" s="24">
        <v>1200</v>
      </c>
      <c r="Q135" s="24">
        <v>14</v>
      </c>
      <c r="R135" s="61">
        <v>0.1</v>
      </c>
      <c r="S135" s="24">
        <v>300</v>
      </c>
      <c r="T135" s="23">
        <v>18</v>
      </c>
    </row>
    <row r="136" spans="1:20" s="9" customFormat="1" ht="11.25" customHeight="1">
      <c r="A136" s="181" t="s">
        <v>35</v>
      </c>
      <c r="B136" s="181"/>
      <c r="C136" s="181"/>
      <c r="D136" s="181"/>
      <c r="E136" s="44"/>
      <c r="F136" s="66">
        <f t="shared" ref="F136:T136" si="31">F134/F135</f>
        <v>0.63169907407407411</v>
      </c>
      <c r="G136" s="67">
        <f t="shared" si="31"/>
        <v>0.71568568840579716</v>
      </c>
      <c r="H136" s="67">
        <f t="shared" si="31"/>
        <v>0.62935704960835503</v>
      </c>
      <c r="I136" s="67">
        <f t="shared" si="31"/>
        <v>0.65604206495098027</v>
      </c>
      <c r="J136" s="67">
        <f t="shared" si="31"/>
        <v>0.75154761904761913</v>
      </c>
      <c r="K136" s="67">
        <f t="shared" si="31"/>
        <v>0.60192708333333322</v>
      </c>
      <c r="L136" s="67">
        <f t="shared" si="31"/>
        <v>0.90089880952380952</v>
      </c>
      <c r="M136" s="68">
        <f t="shared" si="31"/>
        <v>28.384444444444444</v>
      </c>
      <c r="N136" s="68">
        <f t="shared" si="31"/>
        <v>2.8871527777777781</v>
      </c>
      <c r="O136" s="67">
        <f t="shared" si="31"/>
        <v>0.27480256944444448</v>
      </c>
      <c r="P136" s="67">
        <f t="shared" si="31"/>
        <v>0.69746381944444436</v>
      </c>
      <c r="Q136" s="67">
        <f t="shared" si="31"/>
        <v>0.70626190476190487</v>
      </c>
      <c r="R136" s="68">
        <f t="shared" si="31"/>
        <v>26.165833333333328</v>
      </c>
      <c r="S136" s="67">
        <f t="shared" si="31"/>
        <v>0.61572583333333331</v>
      </c>
      <c r="T136" s="68">
        <f t="shared" si="31"/>
        <v>0.53717129629629623</v>
      </c>
    </row>
    <row r="137" spans="1:20" s="9" customFormat="1" ht="11.25" customHeight="1">
      <c r="A137" s="5" t="s">
        <v>67</v>
      </c>
      <c r="B137" s="5"/>
      <c r="C137" s="69"/>
      <c r="D137" s="69"/>
      <c r="E137" s="70"/>
      <c r="F137" s="11"/>
      <c r="G137" s="6"/>
      <c r="H137" s="8"/>
      <c r="I137" s="8"/>
      <c r="J137" s="6"/>
      <c r="K137" s="6"/>
      <c r="L137" s="6"/>
      <c r="M137" s="160" t="s">
        <v>0</v>
      </c>
      <c r="N137" s="160"/>
      <c r="O137" s="160"/>
      <c r="P137" s="160"/>
      <c r="Q137" s="160"/>
      <c r="R137" s="160"/>
      <c r="S137" s="160"/>
      <c r="T137" s="160"/>
    </row>
    <row r="138" spans="1:20" s="9" customFormat="1" ht="11.25" customHeight="1">
      <c r="A138" s="5"/>
      <c r="B138" s="5"/>
      <c r="C138" s="69"/>
      <c r="D138" s="69"/>
      <c r="E138" s="70"/>
      <c r="F138" s="11"/>
      <c r="G138" s="6"/>
      <c r="H138" s="8"/>
      <c r="I138" s="8"/>
      <c r="J138" s="6"/>
      <c r="K138" s="6"/>
      <c r="L138" s="6"/>
      <c r="M138" s="85"/>
      <c r="N138" s="85"/>
      <c r="O138" s="85"/>
      <c r="P138" s="85"/>
      <c r="Q138" s="85"/>
      <c r="R138" s="85"/>
      <c r="S138" s="85"/>
      <c r="T138" s="85"/>
    </row>
    <row r="139" spans="1:20" s="9" customFormat="1" ht="11.25" customHeight="1">
      <c r="A139" s="180" t="s">
        <v>84</v>
      </c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</row>
    <row r="140" spans="1:20" s="9" customFormat="1" ht="11.25" customHeight="1">
      <c r="A140" s="10" t="s">
        <v>2</v>
      </c>
      <c r="B140" s="5"/>
      <c r="C140" s="5"/>
      <c r="D140" s="8"/>
      <c r="E140" s="11"/>
      <c r="F140" s="7"/>
      <c r="G140" s="162" t="s">
        <v>85</v>
      </c>
      <c r="H140" s="162"/>
      <c r="I140" s="162"/>
      <c r="J140" s="6"/>
      <c r="K140" s="6"/>
      <c r="L140" s="163"/>
      <c r="M140" s="163"/>
      <c r="N140" s="164"/>
      <c r="O140" s="164"/>
      <c r="P140" s="164"/>
      <c r="Q140" s="164"/>
      <c r="R140" s="6"/>
      <c r="S140" s="6"/>
      <c r="T140" s="6"/>
    </row>
    <row r="141" spans="1:20" s="9" customFormat="1" ht="11.25" customHeight="1">
      <c r="A141" s="5"/>
      <c r="B141" s="5"/>
      <c r="C141" s="5"/>
      <c r="D141" s="182" t="s">
        <v>4</v>
      </c>
      <c r="E141" s="182"/>
      <c r="F141" s="182"/>
      <c r="G141" s="12">
        <v>1</v>
      </c>
      <c r="H141" s="6"/>
      <c r="I141" s="8"/>
      <c r="J141" s="8"/>
      <c r="K141" s="8"/>
      <c r="L141" s="182"/>
      <c r="M141" s="182"/>
      <c r="N141" s="162"/>
      <c r="O141" s="162"/>
      <c r="P141" s="162"/>
      <c r="Q141" s="162"/>
      <c r="R141" s="162"/>
      <c r="S141" s="162"/>
      <c r="T141" s="162"/>
    </row>
    <row r="142" spans="1:20" s="9" customFormat="1" ht="21.75" customHeight="1">
      <c r="A142" s="165" t="s">
        <v>54</v>
      </c>
      <c r="B142" s="165" t="s">
        <v>55</v>
      </c>
      <c r="C142" s="165"/>
      <c r="D142" s="165" t="s">
        <v>7</v>
      </c>
      <c r="E142" s="86"/>
      <c r="F142" s="165" t="s">
        <v>8</v>
      </c>
      <c r="G142" s="165"/>
      <c r="H142" s="165"/>
      <c r="I142" s="165" t="s">
        <v>9</v>
      </c>
      <c r="J142" s="165" t="s">
        <v>10</v>
      </c>
      <c r="K142" s="165"/>
      <c r="L142" s="165"/>
      <c r="M142" s="165"/>
      <c r="N142" s="165"/>
      <c r="O142" s="165" t="s">
        <v>11</v>
      </c>
      <c r="P142" s="165"/>
      <c r="Q142" s="165"/>
      <c r="R142" s="165"/>
      <c r="S142" s="165"/>
      <c r="T142" s="165"/>
    </row>
    <row r="143" spans="1:20" s="9" customFormat="1" ht="21" customHeight="1">
      <c r="A143" s="165"/>
      <c r="B143" s="165"/>
      <c r="C143" s="165"/>
      <c r="D143" s="165"/>
      <c r="E143" s="15"/>
      <c r="F143" s="16" t="s">
        <v>12</v>
      </c>
      <c r="G143" s="13" t="s">
        <v>13</v>
      </c>
      <c r="H143" s="13" t="s">
        <v>14</v>
      </c>
      <c r="I143" s="165"/>
      <c r="J143" s="13" t="s">
        <v>15</v>
      </c>
      <c r="K143" s="13" t="s">
        <v>16</v>
      </c>
      <c r="L143" s="13" t="s">
        <v>17</v>
      </c>
      <c r="M143" s="13" t="s">
        <v>18</v>
      </c>
      <c r="N143" s="13" t="s">
        <v>19</v>
      </c>
      <c r="O143" s="13" t="s">
        <v>20</v>
      </c>
      <c r="P143" s="13" t="s">
        <v>21</v>
      </c>
      <c r="Q143" s="13" t="s">
        <v>22</v>
      </c>
      <c r="R143" s="13" t="s">
        <v>23</v>
      </c>
      <c r="S143" s="13" t="s">
        <v>24</v>
      </c>
      <c r="T143" s="13" t="s">
        <v>25</v>
      </c>
    </row>
    <row r="144" spans="1:20" s="9" customFormat="1" ht="11.25" customHeight="1">
      <c r="A144" s="17">
        <v>1</v>
      </c>
      <c r="B144" s="175">
        <v>2</v>
      </c>
      <c r="C144" s="175"/>
      <c r="D144" s="18">
        <v>3</v>
      </c>
      <c r="E144" s="19"/>
      <c r="F144" s="19">
        <v>4</v>
      </c>
      <c r="G144" s="18">
        <v>5</v>
      </c>
      <c r="H144" s="18">
        <v>6</v>
      </c>
      <c r="I144" s="18">
        <v>7</v>
      </c>
      <c r="J144" s="18">
        <v>8</v>
      </c>
      <c r="K144" s="18">
        <v>9</v>
      </c>
      <c r="L144" s="18">
        <v>10</v>
      </c>
      <c r="M144" s="18">
        <v>11</v>
      </c>
      <c r="N144" s="18">
        <v>12</v>
      </c>
      <c r="O144" s="18">
        <v>13</v>
      </c>
      <c r="P144" s="18">
        <v>14</v>
      </c>
      <c r="Q144" s="18">
        <v>15</v>
      </c>
      <c r="R144" s="18">
        <v>16</v>
      </c>
      <c r="S144" s="18">
        <v>17</v>
      </c>
      <c r="T144" s="18">
        <v>18</v>
      </c>
    </row>
    <row r="145" spans="1:20" s="9" customFormat="1" ht="11.25" customHeight="1">
      <c r="A145" s="176" t="s">
        <v>26</v>
      </c>
      <c r="B145" s="176"/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</row>
    <row r="146" spans="1:20" s="9" customFormat="1" ht="11.25" customHeight="1">
      <c r="A146" s="141" t="s">
        <v>30</v>
      </c>
      <c r="B146" s="178" t="s">
        <v>93</v>
      </c>
      <c r="C146" s="178"/>
      <c r="D146" s="137">
        <v>50</v>
      </c>
      <c r="E146" s="145">
        <v>15</v>
      </c>
      <c r="F146" s="145">
        <v>11.599999999999998</v>
      </c>
      <c r="G146" s="145">
        <v>17</v>
      </c>
      <c r="H146" s="145">
        <v>0.05</v>
      </c>
      <c r="I146" s="145">
        <v>199.59999999999997</v>
      </c>
      <c r="J146" s="145">
        <v>0.02</v>
      </c>
      <c r="K146" s="145">
        <v>0.15</v>
      </c>
      <c r="L146" s="145">
        <v>0.35000000000000003</v>
      </c>
      <c r="M146" s="146">
        <v>0.11499999999999999</v>
      </c>
      <c r="N146" s="145">
        <v>0.25</v>
      </c>
      <c r="O146" s="145">
        <v>440</v>
      </c>
      <c r="P146" s="145">
        <v>250</v>
      </c>
      <c r="Q146" s="145">
        <v>2</v>
      </c>
      <c r="R146" s="146">
        <v>0.1</v>
      </c>
      <c r="S146" s="145">
        <v>17.5</v>
      </c>
      <c r="T146" s="145">
        <v>0.65</v>
      </c>
    </row>
    <row r="147" spans="1:20" s="6" customFormat="1" ht="11.25" customHeight="1">
      <c r="A147" s="135">
        <v>175</v>
      </c>
      <c r="B147" s="172" t="s">
        <v>94</v>
      </c>
      <c r="C147" s="172"/>
      <c r="D147" s="137">
        <v>200</v>
      </c>
      <c r="E147" s="145">
        <v>18.02</v>
      </c>
      <c r="F147" s="145">
        <v>10.44</v>
      </c>
      <c r="G147" s="145">
        <v>11.11</v>
      </c>
      <c r="H147" s="145">
        <v>41.3</v>
      </c>
      <c r="I147" s="145">
        <v>207</v>
      </c>
      <c r="J147" s="145">
        <v>0.26</v>
      </c>
      <c r="K147" s="145">
        <v>0.18</v>
      </c>
      <c r="L147" s="145">
        <v>1.2</v>
      </c>
      <c r="M147" s="146">
        <v>81</v>
      </c>
      <c r="N147" s="145">
        <v>1.3</v>
      </c>
      <c r="O147" s="147">
        <v>158.6</v>
      </c>
      <c r="P147" s="147">
        <v>257.3</v>
      </c>
      <c r="Q147" s="137">
        <v>0</v>
      </c>
      <c r="R147" s="147">
        <v>0</v>
      </c>
      <c r="S147" s="147">
        <v>86.7</v>
      </c>
      <c r="T147" s="145">
        <v>2.75</v>
      </c>
    </row>
    <row r="148" spans="1:20" s="6" customFormat="1" ht="13.5" customHeight="1">
      <c r="A148" s="135">
        <v>377</v>
      </c>
      <c r="B148" s="172" t="s">
        <v>48</v>
      </c>
      <c r="C148" s="172"/>
      <c r="D148" s="137">
        <v>200</v>
      </c>
      <c r="E148" s="145">
        <v>3.3</v>
      </c>
      <c r="F148" s="145">
        <v>0.26</v>
      </c>
      <c r="G148" s="145">
        <v>0.06</v>
      </c>
      <c r="H148" s="145">
        <v>15.22</v>
      </c>
      <c r="I148" s="145">
        <v>62.46</v>
      </c>
      <c r="J148" s="145">
        <v>0</v>
      </c>
      <c r="K148" s="145">
        <v>0.01</v>
      </c>
      <c r="L148" s="145">
        <v>2.9</v>
      </c>
      <c r="M148" s="133">
        <v>0</v>
      </c>
      <c r="N148" s="145">
        <v>0.06</v>
      </c>
      <c r="O148" s="145">
        <v>8.0500000000000007</v>
      </c>
      <c r="P148" s="145">
        <v>9.7799999999999994</v>
      </c>
      <c r="Q148" s="145">
        <v>1.7000000000000001E-2</v>
      </c>
      <c r="R148" s="146">
        <v>0</v>
      </c>
      <c r="S148" s="145">
        <v>5.24</v>
      </c>
      <c r="T148" s="145">
        <v>0.87</v>
      </c>
    </row>
    <row r="149" spans="1:20" s="6" customFormat="1" ht="11.25" customHeight="1">
      <c r="A149" s="81" t="s">
        <v>30</v>
      </c>
      <c r="B149" s="174" t="s">
        <v>44</v>
      </c>
      <c r="C149" s="174"/>
      <c r="D149" s="143">
        <v>200</v>
      </c>
      <c r="E149" s="144">
        <v>30.97</v>
      </c>
      <c r="F149" s="29">
        <v>0.9</v>
      </c>
      <c r="G149" s="30">
        <v>0.2</v>
      </c>
      <c r="H149" s="31">
        <v>8.1</v>
      </c>
      <c r="I149" s="29">
        <v>136.6</v>
      </c>
      <c r="J149" s="29">
        <v>0.04</v>
      </c>
      <c r="K149" s="29">
        <v>0.03</v>
      </c>
      <c r="L149" s="29">
        <v>60</v>
      </c>
      <c r="M149" s="29">
        <v>0</v>
      </c>
      <c r="N149" s="30">
        <v>0.2</v>
      </c>
      <c r="O149" s="29">
        <v>34</v>
      </c>
      <c r="P149" s="29">
        <v>23</v>
      </c>
      <c r="Q149" s="57">
        <v>0.2</v>
      </c>
      <c r="R149" s="29">
        <v>0</v>
      </c>
      <c r="S149" s="29">
        <v>15</v>
      </c>
      <c r="T149" s="29">
        <v>0.3</v>
      </c>
    </row>
    <row r="150" spans="1:20" s="6" customFormat="1" ht="11.25" customHeight="1">
      <c r="A150" s="27" t="s">
        <v>30</v>
      </c>
      <c r="B150" s="173" t="s">
        <v>31</v>
      </c>
      <c r="C150" s="173"/>
      <c r="D150" s="28" t="s">
        <v>32</v>
      </c>
      <c r="E150" s="144"/>
      <c r="F150" s="33">
        <v>5.6</v>
      </c>
      <c r="G150" s="34">
        <v>6.4</v>
      </c>
      <c r="H150" s="35">
        <v>9.4</v>
      </c>
      <c r="I150" s="33">
        <v>117.6</v>
      </c>
      <c r="J150" s="33">
        <v>0.08</v>
      </c>
      <c r="K150" s="33">
        <v>0.307</v>
      </c>
      <c r="L150" s="33">
        <v>2.6</v>
      </c>
      <c r="M150" s="33">
        <v>6.7000000000000004E-2</v>
      </c>
      <c r="N150" s="34">
        <v>0.29199999999999998</v>
      </c>
      <c r="O150" s="33">
        <v>240</v>
      </c>
      <c r="P150" s="33">
        <v>180</v>
      </c>
      <c r="Q150" s="36">
        <v>0.8</v>
      </c>
      <c r="R150" s="33">
        <v>1.7999999999999999E-2</v>
      </c>
      <c r="S150" s="33">
        <v>28</v>
      </c>
      <c r="T150" s="33">
        <v>0.12</v>
      </c>
    </row>
    <row r="151" spans="1:20" s="6" customFormat="1" ht="11.25" customHeight="1">
      <c r="A151" s="37" t="s">
        <v>34</v>
      </c>
      <c r="B151" s="100"/>
      <c r="C151" s="100"/>
      <c r="D151" s="101">
        <v>685</v>
      </c>
      <c r="E151" s="102">
        <f>SUM(E146:E149)</f>
        <v>67.289999999999992</v>
      </c>
      <c r="F151" s="103">
        <f t="shared" ref="F151:T151" si="32">SUM(F146:F149)</f>
        <v>23.2</v>
      </c>
      <c r="G151" s="104">
        <f t="shared" si="32"/>
        <v>28.369999999999997</v>
      </c>
      <c r="H151" s="104">
        <f t="shared" si="32"/>
        <v>64.669999999999987</v>
      </c>
      <c r="I151" s="104">
        <f t="shared" si="32"/>
        <v>605.66</v>
      </c>
      <c r="J151" s="104">
        <f t="shared" si="32"/>
        <v>0.32</v>
      </c>
      <c r="K151" s="104">
        <f t="shared" si="32"/>
        <v>0.37</v>
      </c>
      <c r="L151" s="104">
        <f t="shared" si="32"/>
        <v>64.45</v>
      </c>
      <c r="M151" s="104">
        <f t="shared" si="32"/>
        <v>81.114999999999995</v>
      </c>
      <c r="N151" s="105">
        <f t="shared" si="32"/>
        <v>1.81</v>
      </c>
      <c r="O151" s="104">
        <f t="shared" si="32"/>
        <v>640.65</v>
      </c>
      <c r="P151" s="106">
        <f t="shared" si="32"/>
        <v>540.08000000000004</v>
      </c>
      <c r="Q151" s="103">
        <f t="shared" si="32"/>
        <v>2.2170000000000001</v>
      </c>
      <c r="R151" s="105">
        <f t="shared" si="32"/>
        <v>0.1</v>
      </c>
      <c r="S151" s="104">
        <f t="shared" si="32"/>
        <v>124.44</v>
      </c>
      <c r="T151" s="103">
        <f t="shared" si="32"/>
        <v>4.5699999999999994</v>
      </c>
    </row>
    <row r="152" spans="1:20" s="6" customFormat="1" ht="11.25" customHeight="1">
      <c r="A152" s="188" t="s">
        <v>35</v>
      </c>
      <c r="B152" s="188"/>
      <c r="C152" s="188"/>
      <c r="D152" s="188"/>
      <c r="E152" s="107"/>
      <c r="F152" s="108">
        <f t="shared" ref="F152:T152" si="33">F151/F169</f>
        <v>0.25777777777777777</v>
      </c>
      <c r="G152" s="109">
        <f t="shared" si="33"/>
        <v>0.30836956521739128</v>
      </c>
      <c r="H152" s="109">
        <f t="shared" si="33"/>
        <v>0.16885117493472582</v>
      </c>
      <c r="I152" s="109">
        <f t="shared" si="33"/>
        <v>0.22266911764705882</v>
      </c>
      <c r="J152" s="109">
        <f t="shared" si="33"/>
        <v>0.22857142857142859</v>
      </c>
      <c r="K152" s="109">
        <f t="shared" si="33"/>
        <v>0.23124999999999998</v>
      </c>
      <c r="L152" s="109">
        <f t="shared" si="33"/>
        <v>0.92071428571428571</v>
      </c>
      <c r="M152" s="109">
        <f t="shared" si="33"/>
        <v>90.127777777777766</v>
      </c>
      <c r="N152" s="109">
        <f t="shared" si="33"/>
        <v>0.15083333333333335</v>
      </c>
      <c r="O152" s="109">
        <f t="shared" si="33"/>
        <v>0.53387499999999999</v>
      </c>
      <c r="P152" s="109">
        <f t="shared" si="33"/>
        <v>0.45006666666666673</v>
      </c>
      <c r="Q152" s="109">
        <f t="shared" si="33"/>
        <v>0.15835714285714286</v>
      </c>
      <c r="R152" s="109">
        <f t="shared" si="33"/>
        <v>1</v>
      </c>
      <c r="S152" s="109">
        <f t="shared" si="33"/>
        <v>0.4148</v>
      </c>
      <c r="T152" s="110">
        <f t="shared" si="33"/>
        <v>0.25388888888888883</v>
      </c>
    </row>
    <row r="153" spans="1:20" s="6" customFormat="1" ht="11.25" customHeight="1">
      <c r="A153" s="189" t="s">
        <v>36</v>
      </c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</row>
    <row r="154" spans="1:20" s="6" customFormat="1" ht="15" customHeight="1">
      <c r="A154" s="32">
        <v>52</v>
      </c>
      <c r="B154" s="167" t="s">
        <v>61</v>
      </c>
      <c r="C154" s="167"/>
      <c r="D154" s="24">
        <v>60</v>
      </c>
      <c r="E154" s="23">
        <v>3.29</v>
      </c>
      <c r="F154" s="23">
        <f>0.86*D154/60</f>
        <v>0.86</v>
      </c>
      <c r="G154" s="23">
        <f>3.05*D154/60</f>
        <v>3.05</v>
      </c>
      <c r="H154" s="23">
        <f>5.13*D154/60</f>
        <v>5.13</v>
      </c>
      <c r="I154" s="23">
        <f>F154*4+G154*9+H154*4</f>
        <v>51.41</v>
      </c>
      <c r="J154" s="23">
        <f>0.01*D154/60</f>
        <v>0.01</v>
      </c>
      <c r="K154" s="23">
        <f>0.02*D154/60</f>
        <v>0.02</v>
      </c>
      <c r="L154" s="61">
        <f>5.7*D154/60</f>
        <v>5.7</v>
      </c>
      <c r="M154" s="23">
        <f>0.01*D154/60</f>
        <v>0.01</v>
      </c>
      <c r="N154" s="23">
        <f>0.1*D154/60</f>
        <v>0.1</v>
      </c>
      <c r="O154" s="23">
        <f>26.61*D154/60</f>
        <v>26.61</v>
      </c>
      <c r="P154" s="23">
        <f>25.64*D154/60</f>
        <v>25.64</v>
      </c>
      <c r="Q154" s="23">
        <f>0.43*D154/60</f>
        <v>0.43</v>
      </c>
      <c r="R154" s="25">
        <f>0.01*D154/60</f>
        <v>0.01</v>
      </c>
      <c r="S154" s="61">
        <f>12.87*D154/60</f>
        <v>12.87</v>
      </c>
      <c r="T154" s="23">
        <f>0.84*D154/60</f>
        <v>0.84</v>
      </c>
    </row>
    <row r="155" spans="1:20" s="6" customFormat="1" ht="21.75" customHeight="1">
      <c r="A155" s="93">
        <v>106</v>
      </c>
      <c r="B155" s="190" t="s">
        <v>86</v>
      </c>
      <c r="C155" s="190"/>
      <c r="D155" s="94">
        <v>250</v>
      </c>
      <c r="E155" s="22">
        <v>15.53</v>
      </c>
      <c r="F155" s="22">
        <v>14.5</v>
      </c>
      <c r="G155" s="22">
        <v>15.4</v>
      </c>
      <c r="H155" s="22">
        <v>33.1</v>
      </c>
      <c r="I155" s="22">
        <v>329</v>
      </c>
      <c r="J155" s="22">
        <v>0.21</v>
      </c>
      <c r="K155" s="22">
        <v>0.15</v>
      </c>
      <c r="L155" s="22">
        <v>0.41</v>
      </c>
      <c r="M155" s="22">
        <v>0.02</v>
      </c>
      <c r="N155" s="95">
        <v>6.7000000000000004E-2</v>
      </c>
      <c r="O155" s="22">
        <v>42.66</v>
      </c>
      <c r="P155" s="22">
        <v>161</v>
      </c>
      <c r="Q155" s="22">
        <v>1.88</v>
      </c>
      <c r="R155" s="22">
        <v>0.05</v>
      </c>
      <c r="S155" s="22">
        <v>24.6</v>
      </c>
      <c r="T155" s="22">
        <v>1.77</v>
      </c>
    </row>
    <row r="156" spans="1:20" s="6" customFormat="1" ht="12.75" customHeight="1">
      <c r="A156" s="17">
        <v>295</v>
      </c>
      <c r="B156" s="167" t="s">
        <v>87</v>
      </c>
      <c r="C156" s="167"/>
      <c r="D156" s="26">
        <v>80</v>
      </c>
      <c r="E156" s="23">
        <v>30.85</v>
      </c>
      <c r="F156" s="98">
        <v>12.192</v>
      </c>
      <c r="G156" s="111">
        <v>4.6399999999999997</v>
      </c>
      <c r="H156" s="111">
        <v>8.1280000000000001</v>
      </c>
      <c r="I156" s="98">
        <v>250</v>
      </c>
      <c r="J156" s="99">
        <v>7.1999999999999995E-2</v>
      </c>
      <c r="K156" s="98">
        <v>6.4000000000000001E-2</v>
      </c>
      <c r="L156" s="98">
        <v>0.192</v>
      </c>
      <c r="M156" s="99">
        <v>8.0000000000000004E-4</v>
      </c>
      <c r="N156" s="99">
        <v>5.9200000000000003E-2</v>
      </c>
      <c r="O156" s="111">
        <v>11.223999999999998</v>
      </c>
      <c r="P156" s="111">
        <v>75.184000000000012</v>
      </c>
      <c r="Q156" s="98">
        <v>0.93599999999999994</v>
      </c>
      <c r="R156" s="112">
        <v>3.2000000000000001E-2</v>
      </c>
      <c r="S156" s="111">
        <v>12.991999999999997</v>
      </c>
      <c r="T156" s="98">
        <v>1.5119999999999998</v>
      </c>
    </row>
    <row r="157" spans="1:20" s="6" customFormat="1" ht="15.75" customHeight="1">
      <c r="A157" s="93">
        <v>139</v>
      </c>
      <c r="B157" s="170" t="s">
        <v>88</v>
      </c>
      <c r="C157" s="170"/>
      <c r="D157" s="97">
        <v>200</v>
      </c>
      <c r="E157" s="22">
        <v>6.77</v>
      </c>
      <c r="F157" s="22">
        <v>3.69</v>
      </c>
      <c r="G157" s="22">
        <v>6.45</v>
      </c>
      <c r="H157" s="22">
        <v>14.37</v>
      </c>
      <c r="I157" s="22">
        <v>130.35</v>
      </c>
      <c r="J157" s="22">
        <v>0.86</v>
      </c>
      <c r="K157" s="22">
        <v>0.18</v>
      </c>
      <c r="L157" s="94">
        <v>0.16</v>
      </c>
      <c r="M157" s="22">
        <v>3.3333300000000003E-2</v>
      </c>
      <c r="N157" s="95">
        <v>0.01</v>
      </c>
      <c r="O157" s="22">
        <v>97.4</v>
      </c>
      <c r="P157" s="22">
        <v>72</v>
      </c>
      <c r="Q157" s="96">
        <v>3.5</v>
      </c>
      <c r="R157" s="95">
        <v>1.7000000000000001E-2</v>
      </c>
      <c r="S157" s="22">
        <v>37</v>
      </c>
      <c r="T157" s="22">
        <v>1.45</v>
      </c>
    </row>
    <row r="158" spans="1:20" s="6" customFormat="1" ht="24.75" customHeight="1">
      <c r="A158" s="17">
        <v>345</v>
      </c>
      <c r="B158" s="167" t="s">
        <v>64</v>
      </c>
      <c r="C158" s="167"/>
      <c r="D158" s="24">
        <v>200</v>
      </c>
      <c r="E158" s="23">
        <v>5.0999999999999996</v>
      </c>
      <c r="F158" s="29">
        <v>0.06</v>
      </c>
      <c r="G158" s="29">
        <v>0.02</v>
      </c>
      <c r="H158" s="29">
        <v>20.73</v>
      </c>
      <c r="I158" s="29">
        <v>83.34</v>
      </c>
      <c r="J158" s="30">
        <v>0</v>
      </c>
      <c r="K158" s="30">
        <v>0</v>
      </c>
      <c r="L158" s="31">
        <v>2.5</v>
      </c>
      <c r="M158" s="30">
        <v>4.0000000000000001E-3</v>
      </c>
      <c r="N158" s="30">
        <v>0.2</v>
      </c>
      <c r="O158" s="31">
        <v>4</v>
      </c>
      <c r="P158" s="31">
        <v>3.3</v>
      </c>
      <c r="Q158" s="31">
        <v>0.08</v>
      </c>
      <c r="R158" s="31">
        <v>1E-3</v>
      </c>
      <c r="S158" s="31">
        <v>1.7</v>
      </c>
      <c r="T158" s="29">
        <v>0.15</v>
      </c>
    </row>
    <row r="159" spans="1:20" s="6" customFormat="1" ht="11.25" customHeight="1">
      <c r="A159" s="59" t="s">
        <v>30</v>
      </c>
      <c r="B159" s="167" t="s">
        <v>43</v>
      </c>
      <c r="C159" s="167"/>
      <c r="D159" s="24">
        <v>50</v>
      </c>
      <c r="E159" s="23">
        <v>2.35</v>
      </c>
      <c r="F159" s="23">
        <f>2.64*D159/40</f>
        <v>3.3</v>
      </c>
      <c r="G159" s="23">
        <f>0.48*D159/40</f>
        <v>0.6</v>
      </c>
      <c r="H159" s="23">
        <f>13.68*D159/40</f>
        <v>17.100000000000001</v>
      </c>
      <c r="I159" s="61">
        <f>F159*4+G159*9+H159*4</f>
        <v>87</v>
      </c>
      <c r="J159" s="26">
        <f>0.08*D159/40</f>
        <v>0.1</v>
      </c>
      <c r="K159" s="23">
        <f>0.04*D159/40</f>
        <v>0.05</v>
      </c>
      <c r="L159" s="24">
        <v>0</v>
      </c>
      <c r="M159" s="24">
        <v>0</v>
      </c>
      <c r="N159" s="23">
        <f>2.4*D159/40</f>
        <v>3</v>
      </c>
      <c r="O159" s="23">
        <f>14*D159/40</f>
        <v>17.5</v>
      </c>
      <c r="P159" s="23">
        <f>63.2*D159/40</f>
        <v>79</v>
      </c>
      <c r="Q159" s="23">
        <f>1.2*D159/40</f>
        <v>1.5</v>
      </c>
      <c r="R159" s="25">
        <f>0.001*D159/40</f>
        <v>1.25E-3</v>
      </c>
      <c r="S159" s="23">
        <f>9.4*D159/40</f>
        <v>11.75</v>
      </c>
      <c r="T159" s="26">
        <f>0.78*D159/40</f>
        <v>0.97499999999999998</v>
      </c>
    </row>
    <row r="160" spans="1:20" s="6" customFormat="1" ht="11.25" customHeight="1">
      <c r="A160" s="77" t="s">
        <v>30</v>
      </c>
      <c r="B160" s="167" t="s">
        <v>33</v>
      </c>
      <c r="C160" s="167"/>
      <c r="D160" s="24">
        <v>150</v>
      </c>
      <c r="E160" s="23">
        <v>26.11</v>
      </c>
      <c r="F160" s="33">
        <v>0.65</v>
      </c>
      <c r="G160" s="34">
        <v>3.8</v>
      </c>
      <c r="H160" s="35">
        <v>17.600000000000001</v>
      </c>
      <c r="I160" s="33">
        <v>38</v>
      </c>
      <c r="J160" s="33">
        <v>2.5999999999999999E-2</v>
      </c>
      <c r="K160" s="33">
        <v>0.03</v>
      </c>
      <c r="L160" s="33">
        <v>0.13</v>
      </c>
      <c r="M160" s="33">
        <v>11.96</v>
      </c>
      <c r="N160" s="34">
        <v>0.39</v>
      </c>
      <c r="O160" s="33">
        <v>24.18</v>
      </c>
      <c r="P160" s="33">
        <v>49.4</v>
      </c>
      <c r="Q160" s="36">
        <v>0.2</v>
      </c>
      <c r="R160" s="33">
        <v>2E-3</v>
      </c>
      <c r="S160" s="33">
        <v>18.72</v>
      </c>
      <c r="T160" s="33">
        <v>0.182</v>
      </c>
    </row>
    <row r="161" spans="1:20" s="6" customFormat="1" ht="11.25" customHeight="1">
      <c r="A161" s="62" t="s">
        <v>45</v>
      </c>
      <c r="B161" s="63"/>
      <c r="C161" s="63"/>
      <c r="D161" s="39">
        <f>SUM(D154:D160)</f>
        <v>990</v>
      </c>
      <c r="E161" s="40">
        <f>SUM(E154:E160)</f>
        <v>90</v>
      </c>
      <c r="F161" s="41">
        <f t="shared" ref="F161:T161" si="34">SUM(F154:F159)</f>
        <v>34.601999999999997</v>
      </c>
      <c r="G161" s="42">
        <f t="shared" si="34"/>
        <v>30.16</v>
      </c>
      <c r="H161" s="42">
        <f t="shared" si="34"/>
        <v>98.557999999999993</v>
      </c>
      <c r="I161" s="42">
        <f t="shared" si="34"/>
        <v>931.1</v>
      </c>
      <c r="J161" s="41">
        <f t="shared" si="34"/>
        <v>1.252</v>
      </c>
      <c r="K161" s="41">
        <f t="shared" si="34"/>
        <v>0.46399999999999997</v>
      </c>
      <c r="L161" s="42">
        <f t="shared" si="34"/>
        <v>8.9619999999999997</v>
      </c>
      <c r="M161" s="41">
        <f t="shared" si="34"/>
        <v>6.8133300000000008E-2</v>
      </c>
      <c r="N161" s="43">
        <f t="shared" si="34"/>
        <v>3.4361999999999999</v>
      </c>
      <c r="O161" s="41">
        <f t="shared" si="34"/>
        <v>199.39400000000001</v>
      </c>
      <c r="P161" s="42">
        <f t="shared" si="34"/>
        <v>416.12400000000002</v>
      </c>
      <c r="Q161" s="42">
        <f t="shared" si="34"/>
        <v>8.3260000000000005</v>
      </c>
      <c r="R161" s="41">
        <f t="shared" si="34"/>
        <v>0.11125</v>
      </c>
      <c r="S161" s="42">
        <f t="shared" si="34"/>
        <v>100.91199999999999</v>
      </c>
      <c r="T161" s="41">
        <f t="shared" si="34"/>
        <v>6.6970000000000001</v>
      </c>
    </row>
    <row r="162" spans="1:20" s="6" customFormat="1" ht="11.25" customHeight="1">
      <c r="A162" s="181" t="s">
        <v>35</v>
      </c>
      <c r="B162" s="181"/>
      <c r="C162" s="181"/>
      <c r="D162" s="181"/>
      <c r="E162" s="80"/>
      <c r="F162" s="92">
        <f t="shared" ref="F162:T162" si="35">F161/F169</f>
        <v>0.38446666666666662</v>
      </c>
      <c r="G162" s="66">
        <f t="shared" si="35"/>
        <v>0.32782608695652177</v>
      </c>
      <c r="H162" s="66">
        <f t="shared" si="35"/>
        <v>0.25733159268929501</v>
      </c>
      <c r="I162" s="66">
        <f t="shared" si="35"/>
        <v>0.34231617647058826</v>
      </c>
      <c r="J162" s="66">
        <f t="shared" si="35"/>
        <v>0.89428571428571435</v>
      </c>
      <c r="K162" s="66">
        <f t="shared" si="35"/>
        <v>0.28999999999999998</v>
      </c>
      <c r="L162" s="66">
        <f t="shared" si="35"/>
        <v>0.12802857142857144</v>
      </c>
      <c r="M162" s="66">
        <f t="shared" si="35"/>
        <v>7.5703666666666669E-2</v>
      </c>
      <c r="N162" s="66">
        <f t="shared" si="35"/>
        <v>0.28634999999999999</v>
      </c>
      <c r="O162" s="66">
        <f t="shared" si="35"/>
        <v>0.16616166666666668</v>
      </c>
      <c r="P162" s="66">
        <f t="shared" si="35"/>
        <v>0.34677000000000002</v>
      </c>
      <c r="Q162" s="66">
        <f t="shared" si="35"/>
        <v>0.59471428571428575</v>
      </c>
      <c r="R162" s="66">
        <f t="shared" si="35"/>
        <v>1.1125</v>
      </c>
      <c r="S162" s="66">
        <f t="shared" si="35"/>
        <v>0.3363733333333333</v>
      </c>
      <c r="T162" s="67">
        <f t="shared" si="35"/>
        <v>0.37205555555555558</v>
      </c>
    </row>
    <row r="163" spans="1:20" s="6" customFormat="1" ht="11.25" customHeight="1">
      <c r="A163" s="176" t="s">
        <v>46</v>
      </c>
      <c r="B163" s="176"/>
      <c r="C163" s="176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176"/>
      <c r="P163" s="176"/>
      <c r="Q163" s="176"/>
      <c r="R163" s="176"/>
      <c r="S163" s="176"/>
      <c r="T163" s="176"/>
    </row>
    <row r="164" spans="1:20" s="6" customFormat="1" ht="12" customHeight="1">
      <c r="A164" s="17">
        <v>403</v>
      </c>
      <c r="B164" s="167" t="s">
        <v>89</v>
      </c>
      <c r="C164" s="167"/>
      <c r="D164" s="24">
        <v>120</v>
      </c>
      <c r="E164" s="23">
        <v>11.72</v>
      </c>
      <c r="F164" s="23">
        <f>10.7*D164/165</f>
        <v>7.7818181818181822</v>
      </c>
      <c r="G164" s="61">
        <f>11.23*D164/165</f>
        <v>8.1672727272727279</v>
      </c>
      <c r="H164" s="61">
        <f>68.44*D164/165</f>
        <v>49.774545454545454</v>
      </c>
      <c r="I164" s="23">
        <f>F164*4+G164*9+H164*4</f>
        <v>303.73090909090911</v>
      </c>
      <c r="J164" s="23">
        <v>0.13800000000000001</v>
      </c>
      <c r="K164" s="23">
        <v>0.15</v>
      </c>
      <c r="L164" s="23">
        <f>1.61*D164/165</f>
        <v>1.1709090909090911</v>
      </c>
      <c r="M164" s="26">
        <v>7.4999999999999997E-2</v>
      </c>
      <c r="N164" s="61">
        <v>1.5</v>
      </c>
      <c r="O164" s="23">
        <f>119*D164/165</f>
        <v>86.545454545454547</v>
      </c>
      <c r="P164" s="23">
        <v>87.25</v>
      </c>
      <c r="Q164" s="23">
        <v>2.125</v>
      </c>
      <c r="R164" s="25">
        <v>1.2999999999999999E-2</v>
      </c>
      <c r="S164" s="23">
        <f>47.7*D164/165</f>
        <v>34.690909090909088</v>
      </c>
      <c r="T164" s="23">
        <f>2.3*D164/165</f>
        <v>1.6727272727272726</v>
      </c>
    </row>
    <row r="165" spans="1:20" s="6" customFormat="1" ht="12" customHeight="1">
      <c r="A165" s="27" t="s">
        <v>30</v>
      </c>
      <c r="B165" s="173" t="s">
        <v>90</v>
      </c>
      <c r="C165" s="173"/>
      <c r="D165" s="28" t="s">
        <v>32</v>
      </c>
      <c r="E165" s="29">
        <v>18.28</v>
      </c>
      <c r="F165" s="29">
        <v>1</v>
      </c>
      <c r="G165" s="29">
        <v>0.2</v>
      </c>
      <c r="H165" s="29">
        <v>20.2</v>
      </c>
      <c r="I165" s="29">
        <v>86.6</v>
      </c>
      <c r="J165" s="30">
        <v>0.02</v>
      </c>
      <c r="K165" s="30">
        <v>0.02</v>
      </c>
      <c r="L165" s="31">
        <v>4.8</v>
      </c>
      <c r="M165" s="30">
        <v>0</v>
      </c>
      <c r="N165" s="30">
        <v>0</v>
      </c>
      <c r="O165" s="31">
        <v>14</v>
      </c>
      <c r="P165" s="31">
        <v>18</v>
      </c>
      <c r="Q165" s="31">
        <v>0.03</v>
      </c>
      <c r="R165" s="31">
        <v>0</v>
      </c>
      <c r="S165" s="31">
        <v>8</v>
      </c>
      <c r="T165" s="29">
        <v>0.72</v>
      </c>
    </row>
    <row r="166" spans="1:20" s="9" customFormat="1" ht="11.25" customHeight="1">
      <c r="A166" s="62" t="s">
        <v>49</v>
      </c>
      <c r="B166" s="63"/>
      <c r="C166" s="63"/>
      <c r="D166" s="39">
        <v>320</v>
      </c>
      <c r="E166" s="40">
        <f t="shared" ref="E166:T166" si="36">SUM(E164:E165)</f>
        <v>30</v>
      </c>
      <c r="F166" s="41">
        <f t="shared" si="36"/>
        <v>8.7818181818181813</v>
      </c>
      <c r="G166" s="42">
        <f t="shared" si="36"/>
        <v>8.3672727272727272</v>
      </c>
      <c r="H166" s="42">
        <f t="shared" si="36"/>
        <v>69.974545454545449</v>
      </c>
      <c r="I166" s="42">
        <f t="shared" si="36"/>
        <v>390.33090909090913</v>
      </c>
      <c r="J166" s="41">
        <f t="shared" si="36"/>
        <v>0.158</v>
      </c>
      <c r="K166" s="41">
        <f t="shared" si="36"/>
        <v>0.16999999999999998</v>
      </c>
      <c r="L166" s="41">
        <f t="shared" si="36"/>
        <v>5.9709090909090907</v>
      </c>
      <c r="M166" s="41">
        <f t="shared" si="36"/>
        <v>7.4999999999999997E-2</v>
      </c>
      <c r="N166" s="43">
        <f t="shared" si="36"/>
        <v>1.5</v>
      </c>
      <c r="O166" s="41">
        <f t="shared" si="36"/>
        <v>100.54545454545455</v>
      </c>
      <c r="P166" s="41">
        <f t="shared" si="36"/>
        <v>105.25</v>
      </c>
      <c r="Q166" s="41">
        <f t="shared" si="36"/>
        <v>2.1549999999999998</v>
      </c>
      <c r="R166" s="41">
        <f t="shared" si="36"/>
        <v>1.2999999999999999E-2</v>
      </c>
      <c r="S166" s="41">
        <f t="shared" si="36"/>
        <v>42.690909090909088</v>
      </c>
      <c r="T166" s="41">
        <f t="shared" si="36"/>
        <v>2.3927272727272726</v>
      </c>
    </row>
    <row r="167" spans="1:20" s="9" customFormat="1" ht="11.25" customHeight="1">
      <c r="A167" s="181" t="s">
        <v>35</v>
      </c>
      <c r="B167" s="181"/>
      <c r="C167" s="181"/>
      <c r="D167" s="181"/>
      <c r="E167" s="44"/>
      <c r="F167" s="41">
        <f t="shared" ref="F167:T167" si="37">F166/F169</f>
        <v>9.7575757575757566E-2</v>
      </c>
      <c r="G167" s="67">
        <f t="shared" si="37"/>
        <v>9.0948616600790511E-2</v>
      </c>
      <c r="H167" s="67">
        <f t="shared" si="37"/>
        <v>0.18270116306669831</v>
      </c>
      <c r="I167" s="67">
        <f t="shared" si="37"/>
        <v>0.14350401069518717</v>
      </c>
      <c r="J167" s="67">
        <f t="shared" si="37"/>
        <v>0.11285714285714286</v>
      </c>
      <c r="K167" s="67">
        <f t="shared" si="37"/>
        <v>0.10624999999999998</v>
      </c>
      <c r="L167" s="67">
        <f t="shared" si="37"/>
        <v>8.529870129870129E-2</v>
      </c>
      <c r="M167" s="67">
        <f t="shared" si="37"/>
        <v>8.3333333333333329E-2</v>
      </c>
      <c r="N167" s="67">
        <f t="shared" si="37"/>
        <v>0.125</v>
      </c>
      <c r="O167" s="67">
        <f t="shared" si="37"/>
        <v>8.3787878787878786E-2</v>
      </c>
      <c r="P167" s="67">
        <f t="shared" si="37"/>
        <v>8.7708333333333333E-2</v>
      </c>
      <c r="Q167" s="67">
        <f t="shared" si="37"/>
        <v>0.15392857142857141</v>
      </c>
      <c r="R167" s="67">
        <f t="shared" si="37"/>
        <v>0.12999999999999998</v>
      </c>
      <c r="S167" s="67">
        <f t="shared" si="37"/>
        <v>0.14230303030303029</v>
      </c>
      <c r="T167" s="67">
        <f t="shared" si="37"/>
        <v>0.13292929292929292</v>
      </c>
    </row>
    <row r="168" spans="1:20" s="9" customFormat="1" ht="11.25" customHeight="1">
      <c r="A168" s="171" t="s">
        <v>50</v>
      </c>
      <c r="B168" s="171"/>
      <c r="C168" s="171"/>
      <c r="D168" s="171"/>
      <c r="E168" s="44"/>
      <c r="F168" s="41">
        <f t="shared" ref="F168:T168" si="38">SUM(F151,F161,F166)</f>
        <v>66.583818181818174</v>
      </c>
      <c r="G168" s="42">
        <f t="shared" si="38"/>
        <v>66.897272727272735</v>
      </c>
      <c r="H168" s="42">
        <f t="shared" si="38"/>
        <v>233.20254545454543</v>
      </c>
      <c r="I168" s="42">
        <f t="shared" si="38"/>
        <v>1927.090909090909</v>
      </c>
      <c r="J168" s="41">
        <f t="shared" si="38"/>
        <v>1.73</v>
      </c>
      <c r="K168" s="41">
        <f t="shared" si="38"/>
        <v>1.004</v>
      </c>
      <c r="L168" s="42">
        <f t="shared" si="38"/>
        <v>79.382909090909095</v>
      </c>
      <c r="M168" s="41">
        <f t="shared" si="38"/>
        <v>81.258133299999997</v>
      </c>
      <c r="N168" s="41">
        <f t="shared" si="38"/>
        <v>6.7462</v>
      </c>
      <c r="O168" s="42">
        <f t="shared" si="38"/>
        <v>940.58945454545449</v>
      </c>
      <c r="P168" s="42">
        <f t="shared" si="38"/>
        <v>1061.4540000000002</v>
      </c>
      <c r="Q168" s="41">
        <f t="shared" si="38"/>
        <v>12.698</v>
      </c>
      <c r="R168" s="43">
        <f t="shared" si="38"/>
        <v>0.22425</v>
      </c>
      <c r="S168" s="41">
        <f t="shared" si="38"/>
        <v>268.04290909090906</v>
      </c>
      <c r="T168" s="41">
        <f t="shared" si="38"/>
        <v>13.659727272727272</v>
      </c>
    </row>
    <row r="169" spans="1:20" s="9" customFormat="1" ht="11.25" customHeight="1">
      <c r="A169" s="171" t="s">
        <v>51</v>
      </c>
      <c r="B169" s="171"/>
      <c r="C169" s="171"/>
      <c r="D169" s="171"/>
      <c r="E169" s="44"/>
      <c r="F169" s="23">
        <v>90</v>
      </c>
      <c r="G169" s="61">
        <v>92</v>
      </c>
      <c r="H169" s="61">
        <v>383</v>
      </c>
      <c r="I169" s="61">
        <v>2720</v>
      </c>
      <c r="J169" s="23">
        <v>1.4</v>
      </c>
      <c r="K169" s="23">
        <v>1.6</v>
      </c>
      <c r="L169" s="24">
        <v>70</v>
      </c>
      <c r="M169" s="23">
        <v>0.9</v>
      </c>
      <c r="N169" s="24">
        <v>12</v>
      </c>
      <c r="O169" s="24">
        <v>1200</v>
      </c>
      <c r="P169" s="24">
        <v>1200</v>
      </c>
      <c r="Q169" s="24">
        <v>14</v>
      </c>
      <c r="R169" s="61">
        <v>0.1</v>
      </c>
      <c r="S169" s="24">
        <v>300</v>
      </c>
      <c r="T169" s="23">
        <v>18</v>
      </c>
    </row>
    <row r="170" spans="1:20" s="9" customFormat="1" ht="11.25" customHeight="1">
      <c r="A170" s="181" t="s">
        <v>35</v>
      </c>
      <c r="B170" s="181"/>
      <c r="C170" s="181"/>
      <c r="D170" s="181"/>
      <c r="E170" s="44"/>
      <c r="F170" s="66">
        <f t="shared" ref="F170:T170" si="39">F168/F169</f>
        <v>0.73982020202020193</v>
      </c>
      <c r="G170" s="67">
        <f t="shared" si="39"/>
        <v>0.72714426877470362</v>
      </c>
      <c r="H170" s="67">
        <f t="shared" si="39"/>
        <v>0.60888393069071911</v>
      </c>
      <c r="I170" s="67">
        <f t="shared" si="39"/>
        <v>0.70848930481283423</v>
      </c>
      <c r="J170" s="67">
        <f t="shared" si="39"/>
        <v>1.2357142857142858</v>
      </c>
      <c r="K170" s="67">
        <f t="shared" si="39"/>
        <v>0.62749999999999995</v>
      </c>
      <c r="L170" s="67">
        <f t="shared" si="39"/>
        <v>1.1340415584415584</v>
      </c>
      <c r="M170" s="68">
        <f t="shared" si="39"/>
        <v>90.286814777777778</v>
      </c>
      <c r="N170" s="67">
        <f t="shared" si="39"/>
        <v>0.56218333333333337</v>
      </c>
      <c r="O170" s="67">
        <f t="shared" si="39"/>
        <v>0.78382454545454538</v>
      </c>
      <c r="P170" s="67">
        <f t="shared" si="39"/>
        <v>0.88454500000000014</v>
      </c>
      <c r="Q170" s="67">
        <f t="shared" si="39"/>
        <v>0.90700000000000003</v>
      </c>
      <c r="R170" s="68">
        <f t="shared" si="39"/>
        <v>2.2424999999999997</v>
      </c>
      <c r="S170" s="67">
        <f t="shared" si="39"/>
        <v>0.89347636363636351</v>
      </c>
      <c r="T170" s="68">
        <f t="shared" si="39"/>
        <v>0.75887373737373731</v>
      </c>
    </row>
    <row r="171" spans="1:20" s="9" customFormat="1" ht="11.25" customHeight="1">
      <c r="A171" s="4"/>
      <c r="B171" s="5"/>
      <c r="C171" s="5"/>
      <c r="D171" s="6"/>
      <c r="E171" s="7"/>
      <c r="F171" s="7"/>
      <c r="G171" s="6"/>
      <c r="H171" s="6"/>
      <c r="I171" s="6"/>
      <c r="J171" s="6"/>
      <c r="K171" s="6"/>
      <c r="L171" s="6"/>
      <c r="M171" s="160" t="s">
        <v>0</v>
      </c>
      <c r="N171" s="160"/>
      <c r="O171" s="160"/>
      <c r="P171" s="160"/>
      <c r="Q171" s="160"/>
      <c r="R171" s="160"/>
      <c r="S171" s="160"/>
      <c r="T171" s="160"/>
    </row>
    <row r="172" spans="1:20" s="6" customFormat="1" ht="11.25" customHeight="1">
      <c r="A172" s="180" t="s">
        <v>92</v>
      </c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</row>
    <row r="173" spans="1:20" s="6" customFormat="1" ht="11.25" customHeight="1">
      <c r="A173" s="10" t="s">
        <v>2</v>
      </c>
      <c r="B173" s="5"/>
      <c r="C173" s="5"/>
      <c r="D173" s="8"/>
      <c r="E173" s="11"/>
      <c r="F173" s="7"/>
      <c r="G173" s="162" t="s">
        <v>3</v>
      </c>
      <c r="H173" s="162"/>
      <c r="I173" s="162"/>
      <c r="L173" s="163"/>
      <c r="M173" s="163"/>
      <c r="N173" s="164"/>
      <c r="O173" s="164"/>
      <c r="P173" s="164"/>
      <c r="Q173" s="164"/>
    </row>
    <row r="174" spans="1:20" s="6" customFormat="1" ht="11.25" customHeight="1">
      <c r="A174" s="5"/>
      <c r="B174" s="5"/>
      <c r="C174" s="5"/>
      <c r="D174" s="182" t="s">
        <v>4</v>
      </c>
      <c r="E174" s="182"/>
      <c r="F174" s="182"/>
      <c r="G174" s="12">
        <v>2</v>
      </c>
      <c r="I174" s="8"/>
      <c r="J174" s="8"/>
      <c r="K174" s="8"/>
      <c r="L174" s="182"/>
      <c r="M174" s="182"/>
      <c r="N174" s="162"/>
      <c r="O174" s="162"/>
      <c r="P174" s="162"/>
      <c r="Q174" s="162"/>
      <c r="R174" s="162"/>
      <c r="S174" s="162"/>
      <c r="T174" s="162"/>
    </row>
    <row r="175" spans="1:20" s="6" customFormat="1" ht="21.75" customHeight="1">
      <c r="A175" s="165" t="s">
        <v>54</v>
      </c>
      <c r="B175" s="165" t="s">
        <v>55</v>
      </c>
      <c r="C175" s="165"/>
      <c r="D175" s="165" t="s">
        <v>7</v>
      </c>
      <c r="E175" s="86"/>
      <c r="F175" s="165" t="s">
        <v>8</v>
      </c>
      <c r="G175" s="165"/>
      <c r="H175" s="165"/>
      <c r="I175" s="165" t="s">
        <v>9</v>
      </c>
      <c r="J175" s="165" t="s">
        <v>10</v>
      </c>
      <c r="K175" s="165"/>
      <c r="L175" s="165"/>
      <c r="M175" s="165"/>
      <c r="N175" s="165"/>
      <c r="O175" s="165" t="s">
        <v>11</v>
      </c>
      <c r="P175" s="165"/>
      <c r="Q175" s="165"/>
      <c r="R175" s="165"/>
      <c r="S175" s="165"/>
      <c r="T175" s="165"/>
    </row>
    <row r="176" spans="1:20" s="6" customFormat="1" ht="21" customHeight="1">
      <c r="A176" s="165"/>
      <c r="B176" s="165"/>
      <c r="C176" s="165"/>
      <c r="D176" s="165"/>
      <c r="E176" s="15"/>
      <c r="F176" s="16" t="s">
        <v>12</v>
      </c>
      <c r="G176" s="13" t="s">
        <v>13</v>
      </c>
      <c r="H176" s="13" t="s">
        <v>14</v>
      </c>
      <c r="I176" s="165"/>
      <c r="J176" s="13" t="s">
        <v>15</v>
      </c>
      <c r="K176" s="13" t="s">
        <v>16</v>
      </c>
      <c r="L176" s="13" t="s">
        <v>17</v>
      </c>
      <c r="M176" s="13" t="s">
        <v>18</v>
      </c>
      <c r="N176" s="13" t="s">
        <v>19</v>
      </c>
      <c r="O176" s="13" t="s">
        <v>20</v>
      </c>
      <c r="P176" s="13" t="s">
        <v>21</v>
      </c>
      <c r="Q176" s="13" t="s">
        <v>22</v>
      </c>
      <c r="R176" s="13" t="s">
        <v>23</v>
      </c>
      <c r="S176" s="13" t="s">
        <v>24</v>
      </c>
      <c r="T176" s="13" t="s">
        <v>25</v>
      </c>
    </row>
    <row r="177" spans="1:20" s="6" customFormat="1" ht="11.25" customHeight="1">
      <c r="A177" s="17">
        <v>1</v>
      </c>
      <c r="B177" s="175">
        <v>2</v>
      </c>
      <c r="C177" s="175"/>
      <c r="D177" s="18">
        <v>3</v>
      </c>
      <c r="E177" s="19"/>
      <c r="F177" s="19">
        <v>4</v>
      </c>
      <c r="G177" s="18">
        <v>5</v>
      </c>
      <c r="H177" s="18">
        <v>6</v>
      </c>
      <c r="I177" s="18">
        <v>7</v>
      </c>
      <c r="J177" s="18">
        <v>8</v>
      </c>
      <c r="K177" s="18">
        <v>9</v>
      </c>
      <c r="L177" s="18">
        <v>10</v>
      </c>
      <c r="M177" s="18">
        <v>11</v>
      </c>
      <c r="N177" s="18">
        <v>12</v>
      </c>
      <c r="O177" s="18">
        <v>13</v>
      </c>
      <c r="P177" s="18">
        <v>14</v>
      </c>
      <c r="Q177" s="18">
        <v>15</v>
      </c>
      <c r="R177" s="18">
        <v>16</v>
      </c>
      <c r="S177" s="18">
        <v>17</v>
      </c>
      <c r="T177" s="18">
        <v>18</v>
      </c>
    </row>
    <row r="178" spans="1:20" s="6" customFormat="1" ht="11.25" customHeight="1">
      <c r="A178" s="176" t="s">
        <v>26</v>
      </c>
      <c r="B178" s="176"/>
      <c r="C178" s="176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</row>
    <row r="179" spans="1:20" s="6" customFormat="1" ht="11.25" customHeight="1">
      <c r="A179" s="20">
        <v>15</v>
      </c>
      <c r="B179" s="193" t="s">
        <v>27</v>
      </c>
      <c r="C179" s="194"/>
      <c r="D179" s="21" t="s">
        <v>28</v>
      </c>
      <c r="E179" s="22">
        <v>11.25</v>
      </c>
      <c r="F179" s="23">
        <v>0.46</v>
      </c>
      <c r="G179" s="23">
        <v>0.68</v>
      </c>
      <c r="H179" s="23">
        <v>0</v>
      </c>
      <c r="I179" s="23">
        <v>7.98</v>
      </c>
      <c r="J179" s="23">
        <v>0</v>
      </c>
      <c r="K179" s="23">
        <v>0.01</v>
      </c>
      <c r="L179" s="24">
        <v>0.01</v>
      </c>
      <c r="M179" s="24">
        <v>5.0000000000000001E-3</v>
      </c>
      <c r="N179" s="23">
        <v>0.01</v>
      </c>
      <c r="O179" s="23">
        <v>17.600000000000001</v>
      </c>
      <c r="P179" s="23">
        <v>10</v>
      </c>
      <c r="Q179" s="24">
        <v>0.08</v>
      </c>
      <c r="R179" s="24">
        <v>4.0000000000000001E-3</v>
      </c>
      <c r="S179" s="23">
        <v>0.7</v>
      </c>
      <c r="T179" s="23">
        <v>0.03</v>
      </c>
    </row>
    <row r="180" spans="1:20" s="6" customFormat="1" ht="21.75" customHeight="1">
      <c r="A180" s="154" t="s">
        <v>30</v>
      </c>
      <c r="B180" s="168" t="s">
        <v>117</v>
      </c>
      <c r="C180" s="169"/>
      <c r="D180" s="148">
        <v>120</v>
      </c>
      <c r="E180" s="149">
        <v>30</v>
      </c>
      <c r="F180" s="149">
        <v>6.87</v>
      </c>
      <c r="G180" s="149">
        <v>8.1</v>
      </c>
      <c r="H180" s="149">
        <v>35.43</v>
      </c>
      <c r="I180" s="149">
        <v>241.99</v>
      </c>
      <c r="J180" s="150">
        <v>5.8999999999999997E-2</v>
      </c>
      <c r="K180" s="149">
        <v>0.24399999999999999</v>
      </c>
      <c r="L180" s="149">
        <v>0.24</v>
      </c>
      <c r="M180" s="150">
        <v>12.8</v>
      </c>
      <c r="N180" s="150">
        <v>0.54</v>
      </c>
      <c r="O180" s="149">
        <v>30.42</v>
      </c>
      <c r="P180" s="149">
        <v>98.6</v>
      </c>
      <c r="Q180" s="150">
        <v>0.69</v>
      </c>
      <c r="R180" s="150">
        <v>0</v>
      </c>
      <c r="S180" s="149">
        <v>23.5</v>
      </c>
      <c r="T180" s="149">
        <v>0.78</v>
      </c>
    </row>
    <row r="181" spans="1:20" s="6" customFormat="1" ht="11.25" customHeight="1">
      <c r="A181" s="114" t="s">
        <v>30</v>
      </c>
      <c r="B181" s="186" t="s">
        <v>33</v>
      </c>
      <c r="C181" s="174"/>
      <c r="D181" s="24">
        <v>20</v>
      </c>
      <c r="E181" s="23">
        <v>22.74</v>
      </c>
      <c r="F181" s="33">
        <v>0.65</v>
      </c>
      <c r="G181" s="34">
        <v>3.8</v>
      </c>
      <c r="H181" s="35">
        <v>17.600000000000001</v>
      </c>
      <c r="I181" s="33">
        <v>38</v>
      </c>
      <c r="J181" s="33">
        <v>2.5999999999999999E-2</v>
      </c>
      <c r="K181" s="33">
        <v>0.03</v>
      </c>
      <c r="L181" s="33">
        <v>0.13</v>
      </c>
      <c r="M181" s="33">
        <v>11.96</v>
      </c>
      <c r="N181" s="34">
        <v>0.39</v>
      </c>
      <c r="O181" s="33">
        <v>24.18</v>
      </c>
      <c r="P181" s="33">
        <v>49.4</v>
      </c>
      <c r="Q181" s="36">
        <v>0.2</v>
      </c>
      <c r="R181" s="33">
        <v>2E-3</v>
      </c>
      <c r="S181" s="33">
        <v>18.72</v>
      </c>
      <c r="T181" s="33">
        <v>0.182</v>
      </c>
    </row>
    <row r="182" spans="1:20" s="6" customFormat="1" ht="13.5" customHeight="1">
      <c r="A182" s="34">
        <v>377</v>
      </c>
      <c r="B182" s="191" t="s">
        <v>48</v>
      </c>
      <c r="C182" s="192"/>
      <c r="D182" s="58">
        <v>200</v>
      </c>
      <c r="E182" s="29">
        <v>3.3</v>
      </c>
      <c r="F182" s="132">
        <v>0.26</v>
      </c>
      <c r="G182" s="132">
        <v>0.06</v>
      </c>
      <c r="H182" s="132">
        <v>15.22</v>
      </c>
      <c r="I182" s="132">
        <v>62.46</v>
      </c>
      <c r="J182" s="132">
        <v>0</v>
      </c>
      <c r="K182" s="132">
        <v>0.01</v>
      </c>
      <c r="L182" s="132">
        <v>2.9</v>
      </c>
      <c r="M182" s="133">
        <v>0</v>
      </c>
      <c r="N182" s="132">
        <v>0.06</v>
      </c>
      <c r="O182" s="132">
        <v>8.0500000000000007</v>
      </c>
      <c r="P182" s="132">
        <v>9.7799999999999994</v>
      </c>
      <c r="Q182" s="132">
        <v>1.7000000000000001E-2</v>
      </c>
      <c r="R182" s="136">
        <v>0</v>
      </c>
      <c r="S182" s="132">
        <v>5.24</v>
      </c>
      <c r="T182" s="132">
        <v>0.87</v>
      </c>
    </row>
    <row r="183" spans="1:20" s="9" customFormat="1" ht="11.25" customHeight="1">
      <c r="A183" s="62" t="s">
        <v>34</v>
      </c>
      <c r="B183" s="63"/>
      <c r="C183" s="63"/>
      <c r="D183" s="39">
        <v>385</v>
      </c>
      <c r="E183" s="40">
        <f>SUM(E179:E182)</f>
        <v>67.289999999999992</v>
      </c>
      <c r="F183" s="41">
        <f t="shared" ref="F183:T183" si="40">SUM(F179:F181)</f>
        <v>7.98</v>
      </c>
      <c r="G183" s="42">
        <f t="shared" si="40"/>
        <v>12.579999999999998</v>
      </c>
      <c r="H183" s="42">
        <f t="shared" si="40"/>
        <v>53.03</v>
      </c>
      <c r="I183" s="42">
        <f t="shared" si="40"/>
        <v>287.97000000000003</v>
      </c>
      <c r="J183" s="41">
        <f t="shared" si="40"/>
        <v>8.4999999999999992E-2</v>
      </c>
      <c r="K183" s="41">
        <f t="shared" si="40"/>
        <v>0.28400000000000003</v>
      </c>
      <c r="L183" s="41">
        <f t="shared" si="40"/>
        <v>0.38</v>
      </c>
      <c r="M183" s="41">
        <f t="shared" si="40"/>
        <v>24.765000000000001</v>
      </c>
      <c r="N183" s="41">
        <f t="shared" si="40"/>
        <v>0.94000000000000006</v>
      </c>
      <c r="O183" s="41">
        <f t="shared" si="40"/>
        <v>72.2</v>
      </c>
      <c r="P183" s="41">
        <f t="shared" si="40"/>
        <v>158</v>
      </c>
      <c r="Q183" s="41">
        <f t="shared" si="40"/>
        <v>0.97</v>
      </c>
      <c r="R183" s="43">
        <f t="shared" si="40"/>
        <v>6.0000000000000001E-3</v>
      </c>
      <c r="S183" s="41">
        <f t="shared" si="40"/>
        <v>42.92</v>
      </c>
      <c r="T183" s="41">
        <f t="shared" si="40"/>
        <v>0.99199999999999999</v>
      </c>
    </row>
    <row r="184" spans="1:20" s="9" customFormat="1" ht="11.25" customHeight="1">
      <c r="A184" s="181" t="s">
        <v>35</v>
      </c>
      <c r="B184" s="181"/>
      <c r="C184" s="181"/>
      <c r="D184" s="181"/>
      <c r="E184" s="80"/>
      <c r="F184" s="92">
        <f t="shared" ref="F184:T184" si="41">F183/F201</f>
        <v>8.8666666666666671E-2</v>
      </c>
      <c r="G184" s="67">
        <f t="shared" si="41"/>
        <v>0.13673913043478259</v>
      </c>
      <c r="H184" s="67">
        <f t="shared" si="41"/>
        <v>0.13845953002610967</v>
      </c>
      <c r="I184" s="67">
        <f t="shared" si="41"/>
        <v>0.10587132352941178</v>
      </c>
      <c r="J184" s="67">
        <f t="shared" si="41"/>
        <v>6.0714285714285714E-2</v>
      </c>
      <c r="K184" s="67">
        <f t="shared" si="41"/>
        <v>0.17750000000000002</v>
      </c>
      <c r="L184" s="67">
        <f t="shared" si="41"/>
        <v>5.4285714285714284E-3</v>
      </c>
      <c r="M184" s="67">
        <f t="shared" si="41"/>
        <v>27.516666666666666</v>
      </c>
      <c r="N184" s="67">
        <f t="shared" si="41"/>
        <v>7.8333333333333338E-2</v>
      </c>
      <c r="O184" s="67">
        <f t="shared" si="41"/>
        <v>6.0166666666666667E-2</v>
      </c>
      <c r="P184" s="67">
        <f t="shared" si="41"/>
        <v>0.13166666666666665</v>
      </c>
      <c r="Q184" s="67">
        <f t="shared" si="41"/>
        <v>6.9285714285714284E-2</v>
      </c>
      <c r="R184" s="67">
        <f t="shared" si="41"/>
        <v>0.06</v>
      </c>
      <c r="S184" s="67">
        <f t="shared" si="41"/>
        <v>0.14306666666666668</v>
      </c>
      <c r="T184" s="67">
        <f t="shared" si="41"/>
        <v>5.5111111111111111E-2</v>
      </c>
    </row>
    <row r="185" spans="1:20" s="9" customFormat="1" ht="11.25" customHeight="1">
      <c r="A185" s="176" t="s">
        <v>36</v>
      </c>
      <c r="B185" s="176"/>
      <c r="C185" s="176"/>
      <c r="D185" s="176"/>
      <c r="E185" s="176"/>
      <c r="F185" s="176"/>
      <c r="G185" s="176"/>
      <c r="H185" s="176"/>
      <c r="I185" s="176"/>
      <c r="J185" s="176"/>
      <c r="K185" s="176"/>
      <c r="L185" s="176"/>
      <c r="M185" s="176"/>
      <c r="N185" s="176"/>
      <c r="O185" s="176"/>
      <c r="P185" s="176"/>
      <c r="Q185" s="176"/>
      <c r="R185" s="176"/>
      <c r="S185" s="176"/>
      <c r="T185" s="176"/>
    </row>
    <row r="186" spans="1:20" s="6" customFormat="1" ht="21.75" customHeight="1">
      <c r="A186" s="17">
        <v>24</v>
      </c>
      <c r="B186" s="185" t="s">
        <v>73</v>
      </c>
      <c r="C186" s="185"/>
      <c r="D186" s="24">
        <v>60</v>
      </c>
      <c r="E186" s="23">
        <v>6.9</v>
      </c>
      <c r="F186" s="29">
        <v>0.59</v>
      </c>
      <c r="G186" s="29">
        <v>3.69</v>
      </c>
      <c r="H186" s="29">
        <v>2.2400000000000002</v>
      </c>
      <c r="I186" s="29">
        <v>44.52</v>
      </c>
      <c r="J186" s="29">
        <v>0.03</v>
      </c>
      <c r="K186" s="29">
        <v>3.3333333333333333E-2</v>
      </c>
      <c r="L186" s="29">
        <v>10.06</v>
      </c>
      <c r="M186" s="57">
        <v>0</v>
      </c>
      <c r="N186" s="29">
        <v>1.25</v>
      </c>
      <c r="O186" s="29">
        <v>11.21</v>
      </c>
      <c r="P186" s="29">
        <v>20.77</v>
      </c>
      <c r="Q186" s="29">
        <v>0.25</v>
      </c>
      <c r="R186" s="57">
        <v>1.6666666666666668E-3</v>
      </c>
      <c r="S186" s="29">
        <v>9.76</v>
      </c>
      <c r="T186" s="29">
        <v>0.44</v>
      </c>
    </row>
    <row r="187" spans="1:20" s="6" customFormat="1" ht="12.75" customHeight="1">
      <c r="A187" s="17">
        <v>84</v>
      </c>
      <c r="B187" s="167" t="s">
        <v>95</v>
      </c>
      <c r="C187" s="167"/>
      <c r="D187" s="26">
        <v>250</v>
      </c>
      <c r="E187" s="23">
        <v>14.5</v>
      </c>
      <c r="F187" s="23">
        <f>1.77*D187/200</f>
        <v>2.2124999999999999</v>
      </c>
      <c r="G187" s="23">
        <f>2.65*D187/200</f>
        <v>3.3125</v>
      </c>
      <c r="H187" s="23">
        <f>12.74*D187/200</f>
        <v>15.925000000000001</v>
      </c>
      <c r="I187" s="23">
        <f>F187*4+G187*9+H187*4</f>
        <v>102.36250000000001</v>
      </c>
      <c r="J187" s="25">
        <f>0.05*D187/200</f>
        <v>6.25E-2</v>
      </c>
      <c r="K187" s="25">
        <f>0.05*D187/200</f>
        <v>6.25E-2</v>
      </c>
      <c r="L187" s="23">
        <f>19*D187/200</f>
        <v>23.75</v>
      </c>
      <c r="M187" s="23">
        <f>0.74*D187/200</f>
        <v>0.92500000000000004</v>
      </c>
      <c r="N187" s="26">
        <f>0.1*D187/200</f>
        <v>0.125</v>
      </c>
      <c r="O187" s="23">
        <f>43.11*D187/200</f>
        <v>53.887500000000003</v>
      </c>
      <c r="P187" s="23">
        <f>48.75*D187/200</f>
        <v>60.9375</v>
      </c>
      <c r="Q187" s="25">
        <f>1.3*D187/200</f>
        <v>1.625</v>
      </c>
      <c r="R187" s="25">
        <f>0.0032*D187/200</f>
        <v>4.0000000000000001E-3</v>
      </c>
      <c r="S187" s="23">
        <f>22.44*D187/200</f>
        <v>28.05</v>
      </c>
      <c r="T187" s="23">
        <f>0.8*D187/200</f>
        <v>1</v>
      </c>
    </row>
    <row r="188" spans="1:20" s="6" customFormat="1" ht="10.5" customHeight="1">
      <c r="A188" s="32">
        <v>261</v>
      </c>
      <c r="B188" s="167" t="s">
        <v>96</v>
      </c>
      <c r="C188" s="167"/>
      <c r="D188" s="24">
        <v>120</v>
      </c>
      <c r="E188" s="23">
        <v>33.33</v>
      </c>
      <c r="F188" s="29">
        <v>22.06</v>
      </c>
      <c r="G188" s="31">
        <v>18.23</v>
      </c>
      <c r="H188" s="31">
        <v>5.88</v>
      </c>
      <c r="I188" s="29">
        <v>276.25</v>
      </c>
      <c r="J188" s="30">
        <v>7.3999999999999996E-2</v>
      </c>
      <c r="K188" s="30">
        <v>0.06</v>
      </c>
      <c r="L188" s="31">
        <v>0.03</v>
      </c>
      <c r="M188" s="30">
        <v>53.75</v>
      </c>
      <c r="N188" s="30">
        <v>1.68</v>
      </c>
      <c r="O188" s="29">
        <v>68.13</v>
      </c>
      <c r="P188" s="31">
        <v>166.13</v>
      </c>
      <c r="Q188" s="58">
        <v>4.33</v>
      </c>
      <c r="R188" s="76">
        <v>0.06</v>
      </c>
      <c r="S188" s="31">
        <v>25.38</v>
      </c>
      <c r="T188" s="29">
        <v>2.0299999999999998</v>
      </c>
    </row>
    <row r="189" spans="1:20" s="6" customFormat="1" ht="24" customHeight="1">
      <c r="A189" s="129">
        <v>304</v>
      </c>
      <c r="B189" s="177" t="s">
        <v>58</v>
      </c>
      <c r="C189" s="177"/>
      <c r="D189" s="131">
        <v>180</v>
      </c>
      <c r="E189" s="130">
        <v>8.24</v>
      </c>
      <c r="F189" s="132">
        <v>4.4400000000000004</v>
      </c>
      <c r="G189" s="132">
        <v>6.44</v>
      </c>
      <c r="H189" s="132">
        <v>44.015999999999998</v>
      </c>
      <c r="I189" s="132">
        <v>251.82</v>
      </c>
      <c r="J189" s="132">
        <v>3.5999999999999997E-2</v>
      </c>
      <c r="K189" s="132">
        <v>2.4E-2</v>
      </c>
      <c r="L189" s="133">
        <v>0</v>
      </c>
      <c r="M189" s="132">
        <v>4.8000000000000001E-2</v>
      </c>
      <c r="N189" s="133">
        <v>0</v>
      </c>
      <c r="O189" s="134">
        <v>17.928000000000001</v>
      </c>
      <c r="P189" s="134">
        <v>95.256</v>
      </c>
      <c r="Q189" s="137">
        <v>0</v>
      </c>
      <c r="R189" s="138">
        <v>1E-3</v>
      </c>
      <c r="S189" s="134">
        <v>33.468000000000004</v>
      </c>
      <c r="T189" s="132">
        <v>0.70799999999999996</v>
      </c>
    </row>
    <row r="190" spans="1:20" s="6" customFormat="1" ht="12" customHeight="1">
      <c r="A190" s="17">
        <v>699</v>
      </c>
      <c r="B190" s="167" t="s">
        <v>76</v>
      </c>
      <c r="C190" s="167"/>
      <c r="D190" s="24">
        <v>200</v>
      </c>
      <c r="E190" s="23">
        <v>4.08</v>
      </c>
      <c r="F190" s="29">
        <v>0.1</v>
      </c>
      <c r="G190" s="30">
        <v>0</v>
      </c>
      <c r="H190" s="31">
        <v>15.7</v>
      </c>
      <c r="I190" s="29">
        <v>63.2</v>
      </c>
      <c r="J190" s="30">
        <v>1.7999999999999999E-2</v>
      </c>
      <c r="K190" s="30">
        <v>1.2E-2</v>
      </c>
      <c r="L190" s="31">
        <v>8</v>
      </c>
      <c r="M190" s="30">
        <v>0</v>
      </c>
      <c r="N190" s="29">
        <v>0.2</v>
      </c>
      <c r="O190" s="29">
        <v>10.8</v>
      </c>
      <c r="P190" s="29">
        <v>1.7</v>
      </c>
      <c r="Q190" s="29">
        <v>0</v>
      </c>
      <c r="R190" s="57">
        <v>0</v>
      </c>
      <c r="S190" s="29">
        <v>5.8</v>
      </c>
      <c r="T190" s="29">
        <v>1.6</v>
      </c>
    </row>
    <row r="191" spans="1:20" s="6" customFormat="1" ht="11.25" customHeight="1">
      <c r="A191" s="32" t="s">
        <v>30</v>
      </c>
      <c r="B191" s="167" t="s">
        <v>59</v>
      </c>
      <c r="C191" s="167"/>
      <c r="D191" s="24">
        <v>50</v>
      </c>
      <c r="E191" s="23">
        <v>2.35</v>
      </c>
      <c r="F191" s="23">
        <f>1.52*D191/30</f>
        <v>2.5333333333333332</v>
      </c>
      <c r="G191" s="25">
        <f>0.16*D191/30</f>
        <v>0.26666666666666666</v>
      </c>
      <c r="H191" s="25">
        <f>9.84*D191/30</f>
        <v>16.399999999999999</v>
      </c>
      <c r="I191" s="25">
        <f>F191*4+G191*9+H191*4</f>
        <v>78.133333333333326</v>
      </c>
      <c r="J191" s="25">
        <f>0.02*D191/30</f>
        <v>3.3333333333333333E-2</v>
      </c>
      <c r="K191" s="25">
        <f>0.01*D191/30</f>
        <v>1.6666666666666666E-2</v>
      </c>
      <c r="L191" s="25">
        <f>0.44*D191/30</f>
        <v>0.73333333333333328</v>
      </c>
      <c r="M191" s="25">
        <v>0</v>
      </c>
      <c r="N191" s="25">
        <f>0.7*D191/30</f>
        <v>1.1666666666666667</v>
      </c>
      <c r="O191" s="25">
        <f>4*D191/30</f>
        <v>6.666666666666667</v>
      </c>
      <c r="P191" s="25">
        <f>13*D191/30</f>
        <v>21.666666666666668</v>
      </c>
      <c r="Q191" s="25">
        <f>0.008*D191/30</f>
        <v>1.3333333333333334E-2</v>
      </c>
      <c r="R191" s="25">
        <f>0.001*D191/30</f>
        <v>1.6666666666666668E-3</v>
      </c>
      <c r="S191" s="25">
        <v>0</v>
      </c>
      <c r="T191" s="25">
        <f>0.22*D191/30</f>
        <v>0.36666666666666664</v>
      </c>
    </row>
    <row r="192" spans="1:20" s="6" customFormat="1" ht="11.25" customHeight="1">
      <c r="A192" s="77" t="s">
        <v>30</v>
      </c>
      <c r="B192" s="174" t="s">
        <v>44</v>
      </c>
      <c r="C192" s="174"/>
      <c r="D192" s="24">
        <v>120</v>
      </c>
      <c r="E192" s="23">
        <v>20.6</v>
      </c>
      <c r="F192" s="29">
        <v>0.9</v>
      </c>
      <c r="G192" s="30">
        <v>0.2</v>
      </c>
      <c r="H192" s="31">
        <v>8.1</v>
      </c>
      <c r="I192" s="29">
        <v>136.6</v>
      </c>
      <c r="J192" s="29">
        <v>0.04</v>
      </c>
      <c r="K192" s="29">
        <v>0.03</v>
      </c>
      <c r="L192" s="29">
        <v>60</v>
      </c>
      <c r="M192" s="29">
        <v>0</v>
      </c>
      <c r="N192" s="30">
        <v>0.2</v>
      </c>
      <c r="O192" s="29">
        <v>34</v>
      </c>
      <c r="P192" s="29">
        <v>23</v>
      </c>
      <c r="Q192" s="57">
        <v>0.2</v>
      </c>
      <c r="R192" s="29">
        <v>0</v>
      </c>
      <c r="S192" s="29">
        <v>15</v>
      </c>
      <c r="T192" s="29">
        <v>0.3</v>
      </c>
    </row>
    <row r="193" spans="1:20" s="6" customFormat="1" ht="11.25" customHeight="1">
      <c r="A193" s="62" t="s">
        <v>45</v>
      </c>
      <c r="B193" s="63"/>
      <c r="C193" s="63"/>
      <c r="D193" s="39">
        <f>SUM(D186:D192)</f>
        <v>980</v>
      </c>
      <c r="E193" s="40">
        <f>SUM(E186:E192)</f>
        <v>90</v>
      </c>
      <c r="F193" s="41">
        <f t="shared" ref="F193:T193" si="42">SUM(F186:F191)</f>
        <v>31.935833333333335</v>
      </c>
      <c r="G193" s="42">
        <f t="shared" si="42"/>
        <v>31.939166666666669</v>
      </c>
      <c r="H193" s="42">
        <f t="shared" si="42"/>
        <v>100.161</v>
      </c>
      <c r="I193" s="42">
        <f t="shared" si="42"/>
        <v>816.28583333333347</v>
      </c>
      <c r="J193" s="41">
        <f t="shared" si="42"/>
        <v>0.2538333333333333</v>
      </c>
      <c r="K193" s="41">
        <f t="shared" si="42"/>
        <v>0.20849999999999999</v>
      </c>
      <c r="L193" s="42">
        <f t="shared" si="42"/>
        <v>42.573333333333338</v>
      </c>
      <c r="M193" s="41">
        <f t="shared" si="42"/>
        <v>54.722999999999999</v>
      </c>
      <c r="N193" s="91">
        <f t="shared" si="42"/>
        <v>4.4216666666666669</v>
      </c>
      <c r="O193" s="42">
        <f t="shared" si="42"/>
        <v>168.62216666666666</v>
      </c>
      <c r="P193" s="42">
        <f t="shared" si="42"/>
        <v>366.46016666666662</v>
      </c>
      <c r="Q193" s="41">
        <f t="shared" si="42"/>
        <v>6.2183333333333337</v>
      </c>
      <c r="R193" s="41">
        <f t="shared" si="42"/>
        <v>6.8333333333333329E-2</v>
      </c>
      <c r="S193" s="42">
        <f t="shared" si="42"/>
        <v>102.458</v>
      </c>
      <c r="T193" s="41">
        <f t="shared" si="42"/>
        <v>6.1446666666666667</v>
      </c>
    </row>
    <row r="194" spans="1:20" s="6" customFormat="1" ht="11.25" customHeight="1">
      <c r="A194" s="181" t="s">
        <v>35</v>
      </c>
      <c r="B194" s="181"/>
      <c r="C194" s="181"/>
      <c r="D194" s="181"/>
      <c r="E194" s="80"/>
      <c r="F194" s="92">
        <f t="shared" ref="F194:T194" si="43">F193/F201</f>
        <v>0.3548425925925926</v>
      </c>
      <c r="G194" s="67">
        <f t="shared" si="43"/>
        <v>0.34716485507246381</v>
      </c>
      <c r="H194" s="67">
        <f t="shared" si="43"/>
        <v>0.26151697127937334</v>
      </c>
      <c r="I194" s="67">
        <f t="shared" si="43"/>
        <v>0.30010508578431377</v>
      </c>
      <c r="J194" s="67">
        <f t="shared" si="43"/>
        <v>0.18130952380952381</v>
      </c>
      <c r="K194" s="67">
        <f t="shared" si="43"/>
        <v>0.1303125</v>
      </c>
      <c r="L194" s="67">
        <f t="shared" si="43"/>
        <v>0.60819047619047628</v>
      </c>
      <c r="M194" s="67">
        <f t="shared" si="43"/>
        <v>60.803333333333327</v>
      </c>
      <c r="N194" s="67">
        <f t="shared" si="43"/>
        <v>0.36847222222222226</v>
      </c>
      <c r="O194" s="67">
        <f t="shared" si="43"/>
        <v>0.14051847222222222</v>
      </c>
      <c r="P194" s="67">
        <f t="shared" si="43"/>
        <v>0.30538347222222217</v>
      </c>
      <c r="Q194" s="67">
        <f t="shared" si="43"/>
        <v>0.44416666666666671</v>
      </c>
      <c r="R194" s="67">
        <f t="shared" si="43"/>
        <v>0.68333333333333324</v>
      </c>
      <c r="S194" s="67">
        <f t="shared" si="43"/>
        <v>0.34152666666666665</v>
      </c>
      <c r="T194" s="67">
        <f t="shared" si="43"/>
        <v>0.34137037037037038</v>
      </c>
    </row>
    <row r="195" spans="1:20" s="6" customFormat="1" ht="11.25" customHeight="1">
      <c r="A195" s="176" t="s">
        <v>46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</row>
    <row r="196" spans="1:20" s="6" customFormat="1" ht="11.25" customHeight="1">
      <c r="A196" s="17"/>
      <c r="B196" s="167" t="s">
        <v>98</v>
      </c>
      <c r="C196" s="167"/>
      <c r="D196" s="24">
        <v>75</v>
      </c>
      <c r="E196" s="23">
        <v>16.190000000000001</v>
      </c>
      <c r="F196" s="23">
        <v>5.2</v>
      </c>
      <c r="G196" s="23">
        <v>5.82</v>
      </c>
      <c r="H196" s="23">
        <v>37.5</v>
      </c>
      <c r="I196" s="23">
        <f>F196*4+G196*9+H196*4</f>
        <v>223.18</v>
      </c>
      <c r="J196" s="23">
        <v>0.06</v>
      </c>
      <c r="K196" s="23">
        <v>0.02</v>
      </c>
      <c r="L196" s="61">
        <v>0.9</v>
      </c>
      <c r="M196" s="23">
        <v>0.01</v>
      </c>
      <c r="N196" s="26">
        <v>0</v>
      </c>
      <c r="O196" s="61">
        <v>21.42</v>
      </c>
      <c r="P196" s="23">
        <v>113.9</v>
      </c>
      <c r="Q196" s="61">
        <v>1</v>
      </c>
      <c r="R196" s="24">
        <v>0</v>
      </c>
      <c r="S196" s="23">
        <v>21.14</v>
      </c>
      <c r="T196" s="23">
        <v>0.57999999999999996</v>
      </c>
    </row>
    <row r="197" spans="1:20" s="6" customFormat="1" ht="12" customHeight="1">
      <c r="A197" s="17">
        <v>389</v>
      </c>
      <c r="B197" s="167" t="s">
        <v>66</v>
      </c>
      <c r="C197" s="167"/>
      <c r="D197" s="24">
        <v>200</v>
      </c>
      <c r="E197" s="23">
        <v>13.81</v>
      </c>
      <c r="F197" s="23">
        <v>3.17</v>
      </c>
      <c r="G197" s="23">
        <v>2.68</v>
      </c>
      <c r="H197" s="23">
        <v>15.95</v>
      </c>
      <c r="I197" s="23">
        <f>F197*4+G197*9+H197*4</f>
        <v>100.6</v>
      </c>
      <c r="J197" s="26">
        <v>0.04</v>
      </c>
      <c r="K197" s="26">
        <v>0.15</v>
      </c>
      <c r="L197" s="61">
        <v>1.3</v>
      </c>
      <c r="M197" s="26">
        <v>0.03</v>
      </c>
      <c r="N197" s="26">
        <v>0.06</v>
      </c>
      <c r="O197" s="61">
        <v>120.4</v>
      </c>
      <c r="P197" s="61">
        <v>90</v>
      </c>
      <c r="Q197" s="61">
        <v>1.1000000000000001</v>
      </c>
      <c r="R197" s="61">
        <v>0.01</v>
      </c>
      <c r="S197" s="61">
        <v>14</v>
      </c>
      <c r="T197" s="23">
        <v>0.12</v>
      </c>
    </row>
    <row r="198" spans="1:20" s="9" customFormat="1" ht="11.25" customHeight="1">
      <c r="A198" s="62" t="s">
        <v>49</v>
      </c>
      <c r="B198" s="63"/>
      <c r="C198" s="63"/>
      <c r="D198" s="39">
        <f t="shared" ref="D198:T198" si="44">SUM(D196:D197)</f>
        <v>275</v>
      </c>
      <c r="E198" s="40">
        <f t="shared" si="44"/>
        <v>30</v>
      </c>
      <c r="F198" s="40">
        <f t="shared" si="44"/>
        <v>8.370000000000001</v>
      </c>
      <c r="G198" s="40">
        <f t="shared" si="44"/>
        <v>8.5</v>
      </c>
      <c r="H198" s="40">
        <f t="shared" si="44"/>
        <v>53.45</v>
      </c>
      <c r="I198" s="40">
        <f t="shared" si="44"/>
        <v>323.77999999999997</v>
      </c>
      <c r="J198" s="40">
        <f t="shared" si="44"/>
        <v>0.1</v>
      </c>
      <c r="K198" s="40">
        <f t="shared" si="44"/>
        <v>0.16999999999999998</v>
      </c>
      <c r="L198" s="40">
        <f t="shared" si="44"/>
        <v>2.2000000000000002</v>
      </c>
      <c r="M198" s="40">
        <f t="shared" si="44"/>
        <v>0.04</v>
      </c>
      <c r="N198" s="40">
        <f t="shared" si="44"/>
        <v>0.06</v>
      </c>
      <c r="O198" s="40">
        <f t="shared" si="44"/>
        <v>141.82</v>
      </c>
      <c r="P198" s="40">
        <f t="shared" si="44"/>
        <v>203.9</v>
      </c>
      <c r="Q198" s="40">
        <f t="shared" si="44"/>
        <v>2.1</v>
      </c>
      <c r="R198" s="40">
        <f t="shared" si="44"/>
        <v>0.01</v>
      </c>
      <c r="S198" s="40">
        <f t="shared" si="44"/>
        <v>35.14</v>
      </c>
      <c r="T198" s="40">
        <f t="shared" si="44"/>
        <v>0.7</v>
      </c>
    </row>
    <row r="199" spans="1:20" s="9" customFormat="1" ht="11.25" customHeight="1">
      <c r="A199" s="181" t="s">
        <v>35</v>
      </c>
      <c r="B199" s="181"/>
      <c r="C199" s="181"/>
      <c r="D199" s="181"/>
      <c r="E199" s="44"/>
      <c r="F199" s="66">
        <f t="shared" ref="F199:T199" si="45">F198/F201</f>
        <v>9.3000000000000013E-2</v>
      </c>
      <c r="G199" s="67">
        <f t="shared" si="45"/>
        <v>9.2391304347826081E-2</v>
      </c>
      <c r="H199" s="67">
        <f t="shared" si="45"/>
        <v>0.13955613577023498</v>
      </c>
      <c r="I199" s="67">
        <f t="shared" si="45"/>
        <v>0.11903676470588234</v>
      </c>
      <c r="J199" s="67">
        <f t="shared" si="45"/>
        <v>7.1428571428571438E-2</v>
      </c>
      <c r="K199" s="67">
        <f t="shared" si="45"/>
        <v>0.10624999999999998</v>
      </c>
      <c r="L199" s="67">
        <f t="shared" si="45"/>
        <v>3.1428571428571431E-2</v>
      </c>
      <c r="M199" s="67">
        <f t="shared" si="45"/>
        <v>4.4444444444444446E-2</v>
      </c>
      <c r="N199" s="67">
        <f t="shared" si="45"/>
        <v>5.0000000000000001E-3</v>
      </c>
      <c r="O199" s="67">
        <f t="shared" si="45"/>
        <v>0.11818333333333332</v>
      </c>
      <c r="P199" s="67">
        <f t="shared" si="45"/>
        <v>0.16991666666666666</v>
      </c>
      <c r="Q199" s="67">
        <f t="shared" si="45"/>
        <v>0.15</v>
      </c>
      <c r="R199" s="67">
        <f t="shared" si="45"/>
        <v>9.9999999999999992E-2</v>
      </c>
      <c r="S199" s="67">
        <f t="shared" si="45"/>
        <v>0.11713333333333334</v>
      </c>
      <c r="T199" s="67">
        <f t="shared" si="45"/>
        <v>3.888888888888889E-2</v>
      </c>
    </row>
    <row r="200" spans="1:20" s="9" customFormat="1" ht="11.25" customHeight="1">
      <c r="A200" s="171" t="s">
        <v>50</v>
      </c>
      <c r="B200" s="171"/>
      <c r="C200" s="171"/>
      <c r="D200" s="171"/>
      <c r="E200" s="44"/>
      <c r="F200" s="41">
        <f t="shared" ref="F200:T200" si="46">SUM(F183,F193,F198)</f>
        <v>48.285833333333343</v>
      </c>
      <c r="G200" s="42">
        <f t="shared" si="46"/>
        <v>53.019166666666663</v>
      </c>
      <c r="H200" s="42">
        <f t="shared" si="46"/>
        <v>206.64100000000002</v>
      </c>
      <c r="I200" s="42">
        <f t="shared" si="46"/>
        <v>1428.0358333333336</v>
      </c>
      <c r="J200" s="41">
        <f t="shared" si="46"/>
        <v>0.4388333333333333</v>
      </c>
      <c r="K200" s="41">
        <f t="shared" si="46"/>
        <v>0.66250000000000009</v>
      </c>
      <c r="L200" s="42">
        <f t="shared" si="46"/>
        <v>45.153333333333343</v>
      </c>
      <c r="M200" s="41">
        <f t="shared" si="46"/>
        <v>79.528000000000006</v>
      </c>
      <c r="N200" s="41">
        <f t="shared" si="46"/>
        <v>5.4216666666666669</v>
      </c>
      <c r="O200" s="42">
        <f t="shared" si="46"/>
        <v>382.64216666666664</v>
      </c>
      <c r="P200" s="42">
        <f t="shared" si="46"/>
        <v>728.3601666666666</v>
      </c>
      <c r="Q200" s="41">
        <f t="shared" si="46"/>
        <v>9.288333333333334</v>
      </c>
      <c r="R200" s="43">
        <f t="shared" si="46"/>
        <v>8.433333333333333E-2</v>
      </c>
      <c r="S200" s="41">
        <f t="shared" si="46"/>
        <v>180.51799999999997</v>
      </c>
      <c r="T200" s="41">
        <f t="shared" si="46"/>
        <v>7.8366666666666669</v>
      </c>
    </row>
    <row r="201" spans="1:20" s="9" customFormat="1" ht="11.25" customHeight="1">
      <c r="A201" s="171" t="s">
        <v>51</v>
      </c>
      <c r="B201" s="171"/>
      <c r="C201" s="171"/>
      <c r="D201" s="171"/>
      <c r="E201" s="44"/>
      <c r="F201" s="23">
        <v>90</v>
      </c>
      <c r="G201" s="61">
        <v>92</v>
      </c>
      <c r="H201" s="61">
        <v>383</v>
      </c>
      <c r="I201" s="61">
        <v>2720</v>
      </c>
      <c r="J201" s="23">
        <v>1.4</v>
      </c>
      <c r="K201" s="23">
        <v>1.6</v>
      </c>
      <c r="L201" s="24">
        <v>70</v>
      </c>
      <c r="M201" s="23">
        <v>0.9</v>
      </c>
      <c r="N201" s="24">
        <v>12</v>
      </c>
      <c r="O201" s="24">
        <v>1200</v>
      </c>
      <c r="P201" s="24">
        <v>1200</v>
      </c>
      <c r="Q201" s="24">
        <v>14</v>
      </c>
      <c r="R201" s="61">
        <v>0.1</v>
      </c>
      <c r="S201" s="24">
        <v>300</v>
      </c>
      <c r="T201" s="23">
        <v>18</v>
      </c>
    </row>
    <row r="202" spans="1:20" s="9" customFormat="1" ht="11.25" customHeight="1">
      <c r="A202" s="181" t="s">
        <v>35</v>
      </c>
      <c r="B202" s="181"/>
      <c r="C202" s="181"/>
      <c r="D202" s="181"/>
      <c r="E202" s="44"/>
      <c r="F202" s="66">
        <f t="shared" ref="F202:T202" si="47">F200/F201</f>
        <v>0.53650925925925941</v>
      </c>
      <c r="G202" s="67">
        <f t="shared" si="47"/>
        <v>0.57629528985507239</v>
      </c>
      <c r="H202" s="67">
        <f t="shared" si="47"/>
        <v>0.53953263707571808</v>
      </c>
      <c r="I202" s="67">
        <f t="shared" si="47"/>
        <v>0.5250131740196079</v>
      </c>
      <c r="J202" s="67">
        <f t="shared" si="47"/>
        <v>0.31345238095238093</v>
      </c>
      <c r="K202" s="67">
        <f t="shared" si="47"/>
        <v>0.41406250000000006</v>
      </c>
      <c r="L202" s="67">
        <f t="shared" si="47"/>
        <v>0.6450476190476192</v>
      </c>
      <c r="M202" s="68">
        <f t="shared" si="47"/>
        <v>88.364444444444445</v>
      </c>
      <c r="N202" s="67">
        <f t="shared" si="47"/>
        <v>0.45180555555555557</v>
      </c>
      <c r="O202" s="67">
        <f t="shared" si="47"/>
        <v>0.3188684722222222</v>
      </c>
      <c r="P202" s="67">
        <f t="shared" si="47"/>
        <v>0.60696680555555549</v>
      </c>
      <c r="Q202" s="67">
        <f t="shared" si="47"/>
        <v>0.66345238095238102</v>
      </c>
      <c r="R202" s="68">
        <f t="shared" si="47"/>
        <v>0.84333333333333327</v>
      </c>
      <c r="S202" s="67">
        <f t="shared" si="47"/>
        <v>0.60172666666666652</v>
      </c>
      <c r="T202" s="68">
        <f t="shared" si="47"/>
        <v>0.43537037037037041</v>
      </c>
    </row>
    <row r="203" spans="1:20" s="9" customFormat="1" ht="11.25" customHeight="1">
      <c r="A203" s="4"/>
      <c r="B203" s="5"/>
      <c r="C203" s="5"/>
      <c r="D203" s="6"/>
      <c r="E203" s="7"/>
      <c r="F203" s="7"/>
      <c r="G203" s="6"/>
      <c r="H203" s="6"/>
      <c r="I203" s="6"/>
      <c r="J203" s="6"/>
      <c r="K203" s="6"/>
      <c r="L203" s="6"/>
      <c r="M203" s="160" t="s">
        <v>0</v>
      </c>
      <c r="N203" s="160"/>
      <c r="O203" s="160"/>
      <c r="P203" s="160"/>
      <c r="Q203" s="160"/>
      <c r="R203" s="160"/>
      <c r="S203" s="160"/>
      <c r="T203" s="160"/>
    </row>
    <row r="204" spans="1:20" s="9" customFormat="1" ht="11.25" customHeight="1">
      <c r="A204" s="180" t="s">
        <v>99</v>
      </c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</row>
    <row r="205" spans="1:20" s="9" customFormat="1" ht="11.25" customHeight="1">
      <c r="A205" s="10" t="s">
        <v>2</v>
      </c>
      <c r="B205" s="5"/>
      <c r="C205" s="5"/>
      <c r="D205" s="8"/>
      <c r="E205" s="11"/>
      <c r="F205" s="7"/>
      <c r="G205" s="162" t="s">
        <v>53</v>
      </c>
      <c r="H205" s="162"/>
      <c r="I205" s="162"/>
      <c r="J205" s="6"/>
      <c r="K205" s="6"/>
      <c r="L205" s="163"/>
      <c r="M205" s="163"/>
      <c r="N205" s="164"/>
      <c r="O205" s="164"/>
      <c r="P205" s="164"/>
      <c r="Q205" s="164"/>
      <c r="R205" s="6"/>
      <c r="S205" s="6"/>
      <c r="T205" s="6"/>
    </row>
    <row r="206" spans="1:20" s="9" customFormat="1" ht="11.25" customHeight="1">
      <c r="A206" s="5"/>
      <c r="B206" s="5"/>
      <c r="C206" s="5"/>
      <c r="D206" s="182" t="s">
        <v>4</v>
      </c>
      <c r="E206" s="182"/>
      <c r="F206" s="182"/>
      <c r="G206" s="12">
        <v>2</v>
      </c>
      <c r="H206" s="6"/>
      <c r="I206" s="8"/>
      <c r="J206" s="8"/>
      <c r="K206" s="8"/>
      <c r="L206" s="182"/>
      <c r="M206" s="182"/>
      <c r="N206" s="162"/>
      <c r="O206" s="162"/>
      <c r="P206" s="162"/>
      <c r="Q206" s="162"/>
      <c r="R206" s="162"/>
      <c r="S206" s="162"/>
      <c r="T206" s="162"/>
    </row>
    <row r="207" spans="1:20" s="9" customFormat="1" ht="21.75" customHeight="1">
      <c r="A207" s="165" t="s">
        <v>54</v>
      </c>
      <c r="B207" s="165" t="s">
        <v>55</v>
      </c>
      <c r="C207" s="165"/>
      <c r="D207" s="165" t="s">
        <v>7</v>
      </c>
      <c r="E207" s="86"/>
      <c r="F207" s="165" t="s">
        <v>8</v>
      </c>
      <c r="G207" s="165"/>
      <c r="H207" s="165"/>
      <c r="I207" s="165" t="s">
        <v>9</v>
      </c>
      <c r="J207" s="165" t="s">
        <v>10</v>
      </c>
      <c r="K207" s="165"/>
      <c r="L207" s="165"/>
      <c r="M207" s="165"/>
      <c r="N207" s="165"/>
      <c r="O207" s="165" t="s">
        <v>11</v>
      </c>
      <c r="P207" s="165"/>
      <c r="Q207" s="165"/>
      <c r="R207" s="165"/>
      <c r="S207" s="165"/>
      <c r="T207" s="165"/>
    </row>
    <row r="208" spans="1:20" s="9" customFormat="1" ht="21" customHeight="1">
      <c r="A208" s="165"/>
      <c r="B208" s="165"/>
      <c r="C208" s="165"/>
      <c r="D208" s="165"/>
      <c r="E208" s="15"/>
      <c r="F208" s="16" t="s">
        <v>12</v>
      </c>
      <c r="G208" s="13" t="s">
        <v>13</v>
      </c>
      <c r="H208" s="13" t="s">
        <v>14</v>
      </c>
      <c r="I208" s="165"/>
      <c r="J208" s="13" t="s">
        <v>15</v>
      </c>
      <c r="K208" s="13" t="s">
        <v>16</v>
      </c>
      <c r="L208" s="13" t="s">
        <v>17</v>
      </c>
      <c r="M208" s="13" t="s">
        <v>18</v>
      </c>
      <c r="N208" s="13" t="s">
        <v>19</v>
      </c>
      <c r="O208" s="13" t="s">
        <v>20</v>
      </c>
      <c r="P208" s="13" t="s">
        <v>21</v>
      </c>
      <c r="Q208" s="13" t="s">
        <v>22</v>
      </c>
      <c r="R208" s="13" t="s">
        <v>23</v>
      </c>
      <c r="S208" s="13" t="s">
        <v>24</v>
      </c>
      <c r="T208" s="13" t="s">
        <v>25</v>
      </c>
    </row>
    <row r="209" spans="1:20" s="9" customFormat="1" ht="11.25" customHeight="1">
      <c r="A209" s="17">
        <v>1</v>
      </c>
      <c r="B209" s="175">
        <v>2</v>
      </c>
      <c r="C209" s="175"/>
      <c r="D209" s="18">
        <v>3</v>
      </c>
      <c r="E209" s="19"/>
      <c r="F209" s="19">
        <v>4</v>
      </c>
      <c r="G209" s="18">
        <v>5</v>
      </c>
      <c r="H209" s="18">
        <v>6</v>
      </c>
      <c r="I209" s="18">
        <v>7</v>
      </c>
      <c r="J209" s="18">
        <v>8</v>
      </c>
      <c r="K209" s="18">
        <v>9</v>
      </c>
      <c r="L209" s="18">
        <v>10</v>
      </c>
      <c r="M209" s="18">
        <v>11</v>
      </c>
      <c r="N209" s="18">
        <v>12</v>
      </c>
      <c r="O209" s="18">
        <v>13</v>
      </c>
      <c r="P209" s="18">
        <v>14</v>
      </c>
      <c r="Q209" s="18">
        <v>15</v>
      </c>
      <c r="R209" s="18">
        <v>16</v>
      </c>
      <c r="S209" s="18">
        <v>17</v>
      </c>
      <c r="T209" s="18">
        <v>18</v>
      </c>
    </row>
    <row r="210" spans="1:20" s="9" customFormat="1" ht="11.25" customHeight="1">
      <c r="A210" s="176" t="s">
        <v>56</v>
      </c>
      <c r="B210" s="176"/>
      <c r="C210" s="176"/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</row>
    <row r="211" spans="1:20" s="9" customFormat="1" ht="21.75" customHeight="1">
      <c r="A211" s="141" t="s">
        <v>30</v>
      </c>
      <c r="B211" s="178" t="s">
        <v>93</v>
      </c>
      <c r="C211" s="178"/>
      <c r="D211" s="137">
        <v>50</v>
      </c>
      <c r="E211" s="132">
        <v>15</v>
      </c>
      <c r="F211" s="132">
        <v>11.599999999999998</v>
      </c>
      <c r="G211" s="132">
        <v>17</v>
      </c>
      <c r="H211" s="132">
        <v>0.05</v>
      </c>
      <c r="I211" s="132">
        <v>199.59999999999997</v>
      </c>
      <c r="J211" s="132">
        <v>0.02</v>
      </c>
      <c r="K211" s="132">
        <v>0.15</v>
      </c>
      <c r="L211" s="132">
        <v>0.35000000000000003</v>
      </c>
      <c r="M211" s="136">
        <v>0.11499999999999999</v>
      </c>
      <c r="N211" s="132">
        <v>0.25</v>
      </c>
      <c r="O211" s="132">
        <v>440</v>
      </c>
      <c r="P211" s="132">
        <v>250</v>
      </c>
      <c r="Q211" s="132">
        <v>2</v>
      </c>
      <c r="R211" s="136">
        <v>0.1</v>
      </c>
      <c r="S211" s="132">
        <v>17.5</v>
      </c>
      <c r="T211" s="132">
        <v>0.65</v>
      </c>
    </row>
    <row r="212" spans="1:20" s="6" customFormat="1" ht="33" customHeight="1">
      <c r="A212" s="135">
        <v>175</v>
      </c>
      <c r="B212" s="172" t="s">
        <v>94</v>
      </c>
      <c r="C212" s="172"/>
      <c r="D212" s="137">
        <v>200</v>
      </c>
      <c r="E212" s="132">
        <v>18.02</v>
      </c>
      <c r="F212" s="132">
        <v>10.44</v>
      </c>
      <c r="G212" s="132">
        <v>11.11</v>
      </c>
      <c r="H212" s="132">
        <v>41.3</v>
      </c>
      <c r="I212" s="132">
        <v>207</v>
      </c>
      <c r="J212" s="132">
        <v>0.26</v>
      </c>
      <c r="K212" s="132">
        <v>0.18</v>
      </c>
      <c r="L212" s="132">
        <v>1.2</v>
      </c>
      <c r="M212" s="136">
        <v>81</v>
      </c>
      <c r="N212" s="132">
        <v>1.3</v>
      </c>
      <c r="O212" s="134">
        <v>158.6</v>
      </c>
      <c r="P212" s="134">
        <v>257.3</v>
      </c>
      <c r="Q212" s="137">
        <v>0</v>
      </c>
      <c r="R212" s="134">
        <v>0</v>
      </c>
      <c r="S212" s="134">
        <v>86.7</v>
      </c>
      <c r="T212" s="132">
        <v>2.75</v>
      </c>
    </row>
    <row r="213" spans="1:20" s="6" customFormat="1" ht="24" customHeight="1">
      <c r="A213" s="135">
        <v>377</v>
      </c>
      <c r="B213" s="172" t="s">
        <v>48</v>
      </c>
      <c r="C213" s="172"/>
      <c r="D213" s="137">
        <v>200</v>
      </c>
      <c r="E213" s="132">
        <v>3.3</v>
      </c>
      <c r="F213" s="132">
        <v>0.26</v>
      </c>
      <c r="G213" s="132">
        <v>0.06</v>
      </c>
      <c r="H213" s="132">
        <v>15.22</v>
      </c>
      <c r="I213" s="132">
        <v>62.46</v>
      </c>
      <c r="J213" s="132">
        <v>0</v>
      </c>
      <c r="K213" s="132">
        <v>0.01</v>
      </c>
      <c r="L213" s="132">
        <v>2.9</v>
      </c>
      <c r="M213" s="133">
        <v>0</v>
      </c>
      <c r="N213" s="132">
        <v>0.06</v>
      </c>
      <c r="O213" s="132">
        <v>8.0500000000000007</v>
      </c>
      <c r="P213" s="132">
        <v>9.7799999999999994</v>
      </c>
      <c r="Q213" s="132">
        <v>1.7000000000000001E-2</v>
      </c>
      <c r="R213" s="136">
        <v>0</v>
      </c>
      <c r="S213" s="132">
        <v>5.24</v>
      </c>
      <c r="T213" s="132">
        <v>0.87</v>
      </c>
    </row>
    <row r="214" spans="1:20" s="6" customFormat="1" ht="11.25" customHeight="1">
      <c r="A214" s="77" t="s">
        <v>30</v>
      </c>
      <c r="B214" s="174" t="s">
        <v>44</v>
      </c>
      <c r="C214" s="174"/>
      <c r="D214" s="24">
        <v>150</v>
      </c>
      <c r="E214" s="23">
        <v>30.97</v>
      </c>
      <c r="F214" s="29">
        <v>0.9</v>
      </c>
      <c r="G214" s="30">
        <v>0.2</v>
      </c>
      <c r="H214" s="31">
        <v>8.1</v>
      </c>
      <c r="I214" s="29">
        <v>136.6</v>
      </c>
      <c r="J214" s="29">
        <v>0.04</v>
      </c>
      <c r="K214" s="29">
        <v>0.03</v>
      </c>
      <c r="L214" s="29">
        <v>60</v>
      </c>
      <c r="M214" s="29">
        <v>0</v>
      </c>
      <c r="N214" s="30">
        <v>0.2</v>
      </c>
      <c r="O214" s="29">
        <v>34</v>
      </c>
      <c r="P214" s="29">
        <v>23</v>
      </c>
      <c r="Q214" s="57">
        <v>0.2</v>
      </c>
      <c r="R214" s="29">
        <v>0</v>
      </c>
      <c r="S214" s="29">
        <v>15</v>
      </c>
      <c r="T214" s="29">
        <v>0.3</v>
      </c>
    </row>
    <row r="215" spans="1:20" s="6" customFormat="1" ht="11.25" customHeight="1">
      <c r="A215" s="27" t="s">
        <v>30</v>
      </c>
      <c r="B215" s="173" t="s">
        <v>31</v>
      </c>
      <c r="C215" s="173"/>
      <c r="D215" s="28" t="s">
        <v>32</v>
      </c>
      <c r="E215" s="23"/>
      <c r="F215" s="33">
        <v>5.6</v>
      </c>
      <c r="G215" s="34">
        <v>6.4</v>
      </c>
      <c r="H215" s="35">
        <v>9.4</v>
      </c>
      <c r="I215" s="33">
        <v>117.6</v>
      </c>
      <c r="J215" s="33">
        <v>0.08</v>
      </c>
      <c r="K215" s="33">
        <v>0.307</v>
      </c>
      <c r="L215" s="33">
        <v>2.6</v>
      </c>
      <c r="M215" s="33">
        <v>6.7000000000000004E-2</v>
      </c>
      <c r="N215" s="34">
        <v>0.29199999999999998</v>
      </c>
      <c r="O215" s="33">
        <v>240</v>
      </c>
      <c r="P215" s="33">
        <v>180</v>
      </c>
      <c r="Q215" s="36">
        <v>0.8</v>
      </c>
      <c r="R215" s="33">
        <v>1.7999999999999999E-2</v>
      </c>
      <c r="S215" s="33">
        <v>28</v>
      </c>
      <c r="T215" s="33">
        <v>0.12</v>
      </c>
    </row>
    <row r="216" spans="1:20" s="6" customFormat="1" ht="11.25" customHeight="1">
      <c r="A216" s="113" t="s">
        <v>60</v>
      </c>
      <c r="B216" s="90"/>
      <c r="C216" s="90"/>
      <c r="D216" s="39">
        <v>800</v>
      </c>
      <c r="E216" s="40">
        <f t="shared" ref="E216:T216" si="48">SUM(E211:E214)</f>
        <v>67.289999999999992</v>
      </c>
      <c r="F216" s="41">
        <f t="shared" si="48"/>
        <v>23.2</v>
      </c>
      <c r="G216" s="41">
        <f t="shared" si="48"/>
        <v>28.369999999999997</v>
      </c>
      <c r="H216" s="41">
        <f t="shared" si="48"/>
        <v>64.669999999999987</v>
      </c>
      <c r="I216" s="41">
        <f t="shared" si="48"/>
        <v>605.66</v>
      </c>
      <c r="J216" s="41">
        <f t="shared" si="48"/>
        <v>0.32</v>
      </c>
      <c r="K216" s="41">
        <f t="shared" si="48"/>
        <v>0.37</v>
      </c>
      <c r="L216" s="41">
        <f t="shared" si="48"/>
        <v>64.45</v>
      </c>
      <c r="M216" s="41">
        <f t="shared" si="48"/>
        <v>81.114999999999995</v>
      </c>
      <c r="N216" s="41">
        <f t="shared" si="48"/>
        <v>1.81</v>
      </c>
      <c r="O216" s="42">
        <f t="shared" si="48"/>
        <v>640.65</v>
      </c>
      <c r="P216" s="41">
        <f t="shared" si="48"/>
        <v>540.08000000000004</v>
      </c>
      <c r="Q216" s="41">
        <f t="shared" si="48"/>
        <v>2.2170000000000001</v>
      </c>
      <c r="R216" s="41">
        <f t="shared" si="48"/>
        <v>0.1</v>
      </c>
      <c r="S216" s="41">
        <f t="shared" si="48"/>
        <v>124.44</v>
      </c>
      <c r="T216" s="41">
        <f t="shared" si="48"/>
        <v>4.5699999999999994</v>
      </c>
    </row>
    <row r="217" spans="1:20" s="6" customFormat="1" ht="11.25" customHeight="1">
      <c r="A217" s="181" t="s">
        <v>35</v>
      </c>
      <c r="B217" s="181"/>
      <c r="C217" s="181"/>
      <c r="D217" s="181"/>
      <c r="E217" s="80"/>
      <c r="F217" s="92">
        <f t="shared" ref="F217:T217" si="49">F216/F234</f>
        <v>0.25777777777777777</v>
      </c>
      <c r="G217" s="67">
        <f t="shared" si="49"/>
        <v>0.30836956521739128</v>
      </c>
      <c r="H217" s="67">
        <f t="shared" si="49"/>
        <v>0.16885117493472582</v>
      </c>
      <c r="I217" s="67">
        <f t="shared" si="49"/>
        <v>0.22266911764705882</v>
      </c>
      <c r="J217" s="67">
        <f t="shared" si="49"/>
        <v>0.22857142857142859</v>
      </c>
      <c r="K217" s="67">
        <f t="shared" si="49"/>
        <v>0.23124999999999998</v>
      </c>
      <c r="L217" s="67">
        <f t="shared" si="49"/>
        <v>0.92071428571428571</v>
      </c>
      <c r="M217" s="67">
        <f t="shared" si="49"/>
        <v>90.127777777777766</v>
      </c>
      <c r="N217" s="67">
        <f t="shared" si="49"/>
        <v>0.15083333333333335</v>
      </c>
      <c r="O217" s="67">
        <f t="shared" si="49"/>
        <v>0.53387499999999999</v>
      </c>
      <c r="P217" s="67">
        <f t="shared" si="49"/>
        <v>0.45006666666666673</v>
      </c>
      <c r="Q217" s="67">
        <f t="shared" si="49"/>
        <v>0.15835714285714286</v>
      </c>
      <c r="R217" s="67">
        <f t="shared" si="49"/>
        <v>1</v>
      </c>
      <c r="S217" s="67">
        <f t="shared" si="49"/>
        <v>0.4148</v>
      </c>
      <c r="T217" s="67">
        <f t="shared" si="49"/>
        <v>0.25388888888888883</v>
      </c>
    </row>
    <row r="218" spans="1:20" s="6" customFormat="1" ht="11.25" customHeight="1">
      <c r="A218" s="195" t="s">
        <v>36</v>
      </c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  <c r="R218" s="195"/>
      <c r="S218" s="195"/>
      <c r="T218" s="195"/>
    </row>
    <row r="219" spans="1:20" s="6" customFormat="1" ht="11.25" customHeight="1">
      <c r="A219" s="152">
        <v>67</v>
      </c>
      <c r="B219" s="196" t="s">
        <v>101</v>
      </c>
      <c r="C219" s="196"/>
      <c r="D219" s="152">
        <v>60</v>
      </c>
      <c r="E219" s="59">
        <v>6.83</v>
      </c>
      <c r="F219" s="116">
        <f>1.5*D219/60</f>
        <v>1.5</v>
      </c>
      <c r="G219" s="116">
        <f>3.47*D219/60</f>
        <v>3.47</v>
      </c>
      <c r="H219" s="115">
        <f>6.77*D219/60</f>
        <v>6.77</v>
      </c>
      <c r="I219" s="23">
        <f>F219*4+G219*9+H219*4</f>
        <v>64.31</v>
      </c>
      <c r="J219" s="116">
        <f>0.04*D219/60</f>
        <v>0.04</v>
      </c>
      <c r="K219" s="114">
        <f>0.03*D219/60</f>
        <v>2.9999999999999995E-2</v>
      </c>
      <c r="L219" s="116">
        <f>8.6*D219/60</f>
        <v>8.6</v>
      </c>
      <c r="M219" s="116">
        <f>0.74*D219/60</f>
        <v>0.74</v>
      </c>
      <c r="N219" s="116">
        <f>0.2*D219/60</f>
        <v>0.2</v>
      </c>
      <c r="O219" s="117">
        <f>23.39*D219/60</f>
        <v>23.39</v>
      </c>
      <c r="P219" s="117">
        <f>34.04*D219/60</f>
        <v>34.04</v>
      </c>
      <c r="Q219" s="116">
        <f>0.01*D219/60</f>
        <v>0.01</v>
      </c>
      <c r="R219" s="116">
        <f>0.04*D219/60</f>
        <v>0.04</v>
      </c>
      <c r="S219" s="116">
        <f>15.61*D219/60</f>
        <v>15.609999999999998</v>
      </c>
      <c r="T219" s="116">
        <f>0.7*D219/60</f>
        <v>0.7</v>
      </c>
    </row>
    <row r="220" spans="1:20" s="6" customFormat="1" ht="22.5" customHeight="1">
      <c r="A220" s="17">
        <v>103</v>
      </c>
      <c r="B220" s="167" t="s">
        <v>62</v>
      </c>
      <c r="C220" s="167"/>
      <c r="D220" s="26">
        <v>250</v>
      </c>
      <c r="E220" s="23">
        <v>10.81</v>
      </c>
      <c r="F220" s="29">
        <v>2.69</v>
      </c>
      <c r="G220" s="57">
        <v>2.84</v>
      </c>
      <c r="H220" s="57">
        <v>17.14</v>
      </c>
      <c r="I220" s="57">
        <v>104.75</v>
      </c>
      <c r="J220" s="57">
        <v>0.11</v>
      </c>
      <c r="K220" s="57">
        <v>0.21</v>
      </c>
      <c r="L220" s="57">
        <v>8.25</v>
      </c>
      <c r="M220" s="57">
        <v>0</v>
      </c>
      <c r="N220" s="57">
        <v>0.379</v>
      </c>
      <c r="O220" s="57">
        <v>24.6</v>
      </c>
      <c r="P220" s="57">
        <v>66.650000000000006</v>
      </c>
      <c r="Q220" s="57">
        <v>0.13</v>
      </c>
      <c r="R220" s="57">
        <v>1E-3</v>
      </c>
      <c r="S220" s="57">
        <v>27</v>
      </c>
      <c r="T220" s="57">
        <v>1.0900000000000001</v>
      </c>
    </row>
    <row r="221" spans="1:20" s="6" customFormat="1" ht="12.75" customHeight="1">
      <c r="A221" s="151">
        <v>268</v>
      </c>
      <c r="B221" s="197" t="s">
        <v>40</v>
      </c>
      <c r="C221" s="197"/>
      <c r="D221" s="143">
        <v>80</v>
      </c>
      <c r="E221" s="23">
        <v>32.82</v>
      </c>
      <c r="F221" s="29">
        <v>13.460000000000003</v>
      </c>
      <c r="G221" s="31">
        <v>10.86</v>
      </c>
      <c r="H221" s="31">
        <v>5.34</v>
      </c>
      <c r="I221" s="29">
        <v>172.94800000000001</v>
      </c>
      <c r="J221" s="29">
        <v>7.0000000000000007E-2</v>
      </c>
      <c r="K221" s="29">
        <v>0.23000000000000004</v>
      </c>
      <c r="L221" s="29">
        <v>0.75</v>
      </c>
      <c r="M221" s="30">
        <v>0.2</v>
      </c>
      <c r="N221" s="57">
        <v>2.1000000000000001E-2</v>
      </c>
      <c r="O221" s="29">
        <v>73.739999999999995</v>
      </c>
      <c r="P221" s="31">
        <v>184.82</v>
      </c>
      <c r="Q221" s="29">
        <v>2.2799999999999998</v>
      </c>
      <c r="R221" s="57">
        <v>0.03</v>
      </c>
      <c r="S221" s="29">
        <v>29.860000000000003</v>
      </c>
      <c r="T221" s="29">
        <v>1.9300000000000002</v>
      </c>
    </row>
    <row r="222" spans="1:20" s="6" customFormat="1" ht="12.75" customHeight="1">
      <c r="A222" s="32">
        <v>171</v>
      </c>
      <c r="B222" s="167" t="s">
        <v>102</v>
      </c>
      <c r="C222" s="167"/>
      <c r="D222" s="24">
        <v>180</v>
      </c>
      <c r="E222" s="23">
        <v>14.94</v>
      </c>
      <c r="F222" s="29">
        <v>7.8840000000000003</v>
      </c>
      <c r="G222" s="29">
        <v>5.0279999999999996</v>
      </c>
      <c r="H222" s="29">
        <v>38.783999999999999</v>
      </c>
      <c r="I222" s="29">
        <v>231.92400000000001</v>
      </c>
      <c r="J222" s="57">
        <v>7.1999999999999995E-2</v>
      </c>
      <c r="K222" s="57">
        <v>3.5999999999999997E-2</v>
      </c>
      <c r="L222" s="30">
        <v>0</v>
      </c>
      <c r="M222" s="57">
        <v>3.5999999999999997E-2</v>
      </c>
      <c r="N222" s="30">
        <v>3.06</v>
      </c>
      <c r="O222" s="29">
        <v>21.744</v>
      </c>
      <c r="P222" s="29">
        <v>188.43600000000001</v>
      </c>
      <c r="Q222" s="57">
        <v>1.0680000000000001</v>
      </c>
      <c r="R222" s="57">
        <v>2E-3</v>
      </c>
      <c r="S222" s="29">
        <v>125.34</v>
      </c>
      <c r="T222" s="29">
        <v>4.26</v>
      </c>
    </row>
    <row r="223" spans="1:20" s="6" customFormat="1" ht="24.6" customHeight="1">
      <c r="A223" s="17">
        <v>345</v>
      </c>
      <c r="B223" s="167" t="s">
        <v>64</v>
      </c>
      <c r="C223" s="167"/>
      <c r="D223" s="24">
        <v>200</v>
      </c>
      <c r="E223" s="23">
        <v>5.0999999999999996</v>
      </c>
      <c r="F223" s="29">
        <v>0.06</v>
      </c>
      <c r="G223" s="29">
        <v>0.02</v>
      </c>
      <c r="H223" s="29">
        <v>20.73</v>
      </c>
      <c r="I223" s="29">
        <v>83.34</v>
      </c>
      <c r="J223" s="30">
        <v>0</v>
      </c>
      <c r="K223" s="30">
        <v>0</v>
      </c>
      <c r="L223" s="31">
        <v>2.5</v>
      </c>
      <c r="M223" s="30">
        <v>4.0000000000000001E-3</v>
      </c>
      <c r="N223" s="30">
        <v>0.2</v>
      </c>
      <c r="O223" s="31">
        <v>4</v>
      </c>
      <c r="P223" s="31">
        <v>3.3</v>
      </c>
      <c r="Q223" s="31">
        <v>0.08</v>
      </c>
      <c r="R223" s="31">
        <v>1E-3</v>
      </c>
      <c r="S223" s="31">
        <v>1.7</v>
      </c>
      <c r="T223" s="29">
        <v>0.15</v>
      </c>
    </row>
    <row r="224" spans="1:20" s="6" customFormat="1" ht="11.25" customHeight="1">
      <c r="A224" s="59" t="s">
        <v>30</v>
      </c>
      <c r="B224" s="167" t="s">
        <v>43</v>
      </c>
      <c r="C224" s="167"/>
      <c r="D224" s="24">
        <v>50</v>
      </c>
      <c r="E224" s="23">
        <v>2.35</v>
      </c>
      <c r="F224" s="23">
        <f>2.64*D224/40</f>
        <v>3.3</v>
      </c>
      <c r="G224" s="23">
        <f>0.48*D224/40</f>
        <v>0.6</v>
      </c>
      <c r="H224" s="23">
        <f>13.68*D224/40</f>
        <v>17.100000000000001</v>
      </c>
      <c r="I224" s="61">
        <f>F224*4+G224*9+H224*4</f>
        <v>87</v>
      </c>
      <c r="J224" s="26">
        <f>0.08*D224/40</f>
        <v>0.1</v>
      </c>
      <c r="K224" s="23">
        <f>0.04*D224/40</f>
        <v>0.05</v>
      </c>
      <c r="L224" s="24">
        <v>0</v>
      </c>
      <c r="M224" s="24">
        <v>0</v>
      </c>
      <c r="N224" s="23">
        <f>2.4*D224/40</f>
        <v>3</v>
      </c>
      <c r="O224" s="23">
        <f>14*D224/40</f>
        <v>17.5</v>
      </c>
      <c r="P224" s="23">
        <f>63.2*D224/40</f>
        <v>79</v>
      </c>
      <c r="Q224" s="23">
        <f>1.2*D224/40</f>
        <v>1.5</v>
      </c>
      <c r="R224" s="25">
        <f>0.001*D224/40</f>
        <v>1.25E-3</v>
      </c>
      <c r="S224" s="23">
        <f>9.4*D224/40</f>
        <v>11.75</v>
      </c>
      <c r="T224" s="26">
        <f>0.78*D224/40</f>
        <v>0.97499999999999998</v>
      </c>
    </row>
    <row r="225" spans="1:20" s="6" customFormat="1" ht="11.25" customHeight="1">
      <c r="A225" s="77" t="s">
        <v>30</v>
      </c>
      <c r="B225" s="174" t="s">
        <v>44</v>
      </c>
      <c r="C225" s="174"/>
      <c r="D225" s="24">
        <v>100</v>
      </c>
      <c r="E225" s="23">
        <v>19.739999999999998</v>
      </c>
      <c r="F225" s="29">
        <v>0.9</v>
      </c>
      <c r="G225" s="30">
        <v>0.2</v>
      </c>
      <c r="H225" s="31">
        <v>8.1</v>
      </c>
      <c r="I225" s="29">
        <v>136.6</v>
      </c>
      <c r="J225" s="29">
        <v>0.04</v>
      </c>
      <c r="K225" s="29">
        <v>0.03</v>
      </c>
      <c r="L225" s="29">
        <v>60</v>
      </c>
      <c r="M225" s="29">
        <v>0</v>
      </c>
      <c r="N225" s="30">
        <v>0.2</v>
      </c>
      <c r="O225" s="29">
        <v>34</v>
      </c>
      <c r="P225" s="29">
        <v>23</v>
      </c>
      <c r="Q225" s="57">
        <v>0.2</v>
      </c>
      <c r="R225" s="29">
        <v>0</v>
      </c>
      <c r="S225" s="29">
        <v>15</v>
      </c>
      <c r="T225" s="29">
        <v>0.3</v>
      </c>
    </row>
    <row r="226" spans="1:20" s="6" customFormat="1" ht="11.25" customHeight="1">
      <c r="A226" s="62" t="s">
        <v>45</v>
      </c>
      <c r="B226" s="63"/>
      <c r="C226" s="63"/>
      <c r="D226" s="38">
        <f>SUM(D219:D225)</f>
        <v>920</v>
      </c>
      <c r="E226" s="40">
        <f>SUM(E219:E225)</f>
        <v>92.589999999999989</v>
      </c>
      <c r="F226" s="41">
        <f t="shared" ref="F226:T226" si="50">SUM(F219:F224)</f>
        <v>28.894000000000002</v>
      </c>
      <c r="G226" s="42">
        <f t="shared" si="50"/>
        <v>22.818000000000001</v>
      </c>
      <c r="H226" s="42">
        <f t="shared" si="50"/>
        <v>105.864</v>
      </c>
      <c r="I226" s="42">
        <f t="shared" si="50"/>
        <v>744.27200000000005</v>
      </c>
      <c r="J226" s="42">
        <f t="shared" si="50"/>
        <v>0.39200000000000002</v>
      </c>
      <c r="K226" s="42">
        <f t="shared" si="50"/>
        <v>0.55600000000000005</v>
      </c>
      <c r="L226" s="42">
        <f t="shared" si="50"/>
        <v>20.100000000000001</v>
      </c>
      <c r="M226" s="42">
        <f t="shared" si="50"/>
        <v>0.98</v>
      </c>
      <c r="N226" s="42">
        <f t="shared" si="50"/>
        <v>6.86</v>
      </c>
      <c r="O226" s="42">
        <f t="shared" si="50"/>
        <v>164.97399999999999</v>
      </c>
      <c r="P226" s="42">
        <f t="shared" si="50"/>
        <v>556.24600000000009</v>
      </c>
      <c r="Q226" s="42">
        <f t="shared" si="50"/>
        <v>5.0679999999999996</v>
      </c>
      <c r="R226" s="42">
        <f t="shared" si="50"/>
        <v>7.5250000000000011E-2</v>
      </c>
      <c r="S226" s="42">
        <f t="shared" si="50"/>
        <v>211.26</v>
      </c>
      <c r="T226" s="42">
        <f t="shared" si="50"/>
        <v>9.1050000000000004</v>
      </c>
    </row>
    <row r="227" spans="1:20" s="6" customFormat="1" ht="11.25" customHeight="1">
      <c r="A227" s="181" t="s">
        <v>35</v>
      </c>
      <c r="B227" s="181"/>
      <c r="C227" s="181"/>
      <c r="D227" s="181"/>
      <c r="E227" s="80"/>
      <c r="F227" s="92">
        <f t="shared" ref="F227:T227" si="51">F226/F234</f>
        <v>0.32104444444444447</v>
      </c>
      <c r="G227" s="67">
        <f t="shared" si="51"/>
        <v>0.24802173913043479</v>
      </c>
      <c r="H227" s="67">
        <f t="shared" si="51"/>
        <v>0.27640731070496083</v>
      </c>
      <c r="I227" s="67">
        <f t="shared" si="51"/>
        <v>0.2736294117647059</v>
      </c>
      <c r="J227" s="67">
        <f t="shared" si="51"/>
        <v>0.28000000000000003</v>
      </c>
      <c r="K227" s="67">
        <f t="shared" si="51"/>
        <v>0.34750000000000003</v>
      </c>
      <c r="L227" s="67">
        <f t="shared" si="51"/>
        <v>0.28714285714285714</v>
      </c>
      <c r="M227" s="67">
        <f t="shared" si="51"/>
        <v>1.0888888888888888</v>
      </c>
      <c r="N227" s="67">
        <f t="shared" si="51"/>
        <v>0.57166666666666666</v>
      </c>
      <c r="O227" s="67">
        <f t="shared" si="51"/>
        <v>0.13747833333333331</v>
      </c>
      <c r="P227" s="67">
        <f t="shared" si="51"/>
        <v>0.46353833333333339</v>
      </c>
      <c r="Q227" s="67">
        <f t="shared" si="51"/>
        <v>0.36199999999999999</v>
      </c>
      <c r="R227" s="67">
        <f t="shared" si="51"/>
        <v>0.75250000000000006</v>
      </c>
      <c r="S227" s="67">
        <f t="shared" si="51"/>
        <v>0.70419999999999994</v>
      </c>
      <c r="T227" s="67">
        <f t="shared" si="51"/>
        <v>0.50583333333333336</v>
      </c>
    </row>
    <row r="228" spans="1:20" s="6" customFormat="1" ht="11.25" customHeight="1">
      <c r="A228" s="176" t="s">
        <v>46</v>
      </c>
      <c r="B228" s="176"/>
      <c r="C228" s="176"/>
      <c r="D228" s="176"/>
      <c r="E228" s="176"/>
      <c r="F228" s="176"/>
      <c r="G228" s="176"/>
      <c r="H228" s="176"/>
      <c r="I228" s="176"/>
      <c r="J228" s="176"/>
      <c r="K228" s="176"/>
      <c r="L228" s="176"/>
      <c r="M228" s="176"/>
      <c r="N228" s="176"/>
      <c r="O228" s="176"/>
      <c r="P228" s="176"/>
      <c r="Q228" s="176"/>
      <c r="R228" s="176"/>
      <c r="S228" s="176"/>
      <c r="T228" s="176"/>
    </row>
    <row r="229" spans="1:20" s="6" customFormat="1" ht="11.25" customHeight="1">
      <c r="A229" s="17"/>
      <c r="B229" s="167" t="s">
        <v>103</v>
      </c>
      <c r="C229" s="167"/>
      <c r="D229" s="24">
        <v>75</v>
      </c>
      <c r="E229" s="23">
        <v>16.829999999999998</v>
      </c>
      <c r="F229" s="23">
        <v>5.2</v>
      </c>
      <c r="G229" s="23">
        <v>5.82</v>
      </c>
      <c r="H229" s="23">
        <v>37.5</v>
      </c>
      <c r="I229" s="23">
        <f>F229*4+G229*9+H229*4</f>
        <v>223.18</v>
      </c>
      <c r="J229" s="23">
        <v>0.06</v>
      </c>
      <c r="K229" s="23">
        <v>0.02</v>
      </c>
      <c r="L229" s="61">
        <v>0.9</v>
      </c>
      <c r="M229" s="23">
        <v>0.01</v>
      </c>
      <c r="N229" s="26">
        <v>0</v>
      </c>
      <c r="O229" s="61">
        <v>21.42</v>
      </c>
      <c r="P229" s="23">
        <v>113.9</v>
      </c>
      <c r="Q229" s="61">
        <v>1</v>
      </c>
      <c r="R229" s="24">
        <v>0</v>
      </c>
      <c r="S229" s="23">
        <v>21.14</v>
      </c>
      <c r="T229" s="23">
        <v>0.57999999999999996</v>
      </c>
    </row>
    <row r="230" spans="1:20" s="6" customFormat="1" ht="12" customHeight="1">
      <c r="A230" s="17">
        <v>389</v>
      </c>
      <c r="B230" s="167" t="s">
        <v>104</v>
      </c>
      <c r="C230" s="167"/>
      <c r="D230" s="24">
        <v>200</v>
      </c>
      <c r="E230" s="23">
        <v>13.17</v>
      </c>
      <c r="F230" s="23">
        <v>1</v>
      </c>
      <c r="G230" s="23">
        <v>0.2</v>
      </c>
      <c r="H230" s="23">
        <v>20.2</v>
      </c>
      <c r="I230" s="23">
        <f>F230*4+G230*9+H230*4</f>
        <v>86.6</v>
      </c>
      <c r="J230" s="26">
        <v>0.02</v>
      </c>
      <c r="K230" s="26">
        <v>0.02</v>
      </c>
      <c r="L230" s="61">
        <v>4.8</v>
      </c>
      <c r="M230" s="26">
        <v>0</v>
      </c>
      <c r="N230" s="26">
        <v>0</v>
      </c>
      <c r="O230" s="61">
        <v>14</v>
      </c>
      <c r="P230" s="61">
        <v>18</v>
      </c>
      <c r="Q230" s="61">
        <v>0.03</v>
      </c>
      <c r="R230" s="61">
        <v>0</v>
      </c>
      <c r="S230" s="61">
        <v>8</v>
      </c>
      <c r="T230" s="23">
        <v>0.72</v>
      </c>
    </row>
    <row r="231" spans="1:20" s="9" customFormat="1" ht="11.25" customHeight="1">
      <c r="A231" s="62" t="s">
        <v>49</v>
      </c>
      <c r="B231" s="63"/>
      <c r="C231" s="63"/>
      <c r="D231" s="39">
        <f t="shared" ref="D231:T231" si="52">SUM(D229:D230)</f>
        <v>275</v>
      </c>
      <c r="E231" s="40">
        <f t="shared" si="52"/>
        <v>30</v>
      </c>
      <c r="F231" s="41">
        <f t="shared" si="52"/>
        <v>6.2</v>
      </c>
      <c r="G231" s="42">
        <f t="shared" si="52"/>
        <v>6.0200000000000005</v>
      </c>
      <c r="H231" s="42">
        <f t="shared" si="52"/>
        <v>57.7</v>
      </c>
      <c r="I231" s="42">
        <f t="shared" si="52"/>
        <v>309.77999999999997</v>
      </c>
      <c r="J231" s="41">
        <f t="shared" si="52"/>
        <v>0.08</v>
      </c>
      <c r="K231" s="41">
        <f t="shared" si="52"/>
        <v>0.04</v>
      </c>
      <c r="L231" s="83">
        <f t="shared" si="52"/>
        <v>5.7</v>
      </c>
      <c r="M231" s="42">
        <f t="shared" si="52"/>
        <v>0.01</v>
      </c>
      <c r="N231" s="42">
        <f t="shared" si="52"/>
        <v>0</v>
      </c>
      <c r="O231" s="42">
        <f t="shared" si="52"/>
        <v>35.42</v>
      </c>
      <c r="P231" s="42">
        <f t="shared" si="52"/>
        <v>131.9</v>
      </c>
      <c r="Q231" s="42">
        <f t="shared" si="52"/>
        <v>1.03</v>
      </c>
      <c r="R231" s="41">
        <f t="shared" si="52"/>
        <v>0</v>
      </c>
      <c r="S231" s="42">
        <f t="shared" si="52"/>
        <v>29.14</v>
      </c>
      <c r="T231" s="41">
        <f t="shared" si="52"/>
        <v>1.2999999999999998</v>
      </c>
    </row>
    <row r="232" spans="1:20" s="9" customFormat="1" ht="11.25" customHeight="1">
      <c r="A232" s="181" t="s">
        <v>35</v>
      </c>
      <c r="B232" s="181"/>
      <c r="C232" s="181"/>
      <c r="D232" s="181"/>
      <c r="E232" s="44"/>
      <c r="F232" s="66">
        <f t="shared" ref="F232:T232" si="53">F231/F234</f>
        <v>6.8888888888888888E-2</v>
      </c>
      <c r="G232" s="67">
        <f t="shared" si="53"/>
        <v>6.543478260869566E-2</v>
      </c>
      <c r="H232" s="67">
        <f t="shared" si="53"/>
        <v>0.15065274151436031</v>
      </c>
      <c r="I232" s="67">
        <f t="shared" si="53"/>
        <v>0.11388970588235293</v>
      </c>
      <c r="J232" s="67">
        <f t="shared" si="53"/>
        <v>5.7142857142857148E-2</v>
      </c>
      <c r="K232" s="67">
        <f t="shared" si="53"/>
        <v>2.4999999999999998E-2</v>
      </c>
      <c r="L232" s="67">
        <f t="shared" si="53"/>
        <v>8.1428571428571433E-2</v>
      </c>
      <c r="M232" s="67">
        <f t="shared" si="53"/>
        <v>1.1111111111111112E-2</v>
      </c>
      <c r="N232" s="67">
        <f t="shared" si="53"/>
        <v>0</v>
      </c>
      <c r="O232" s="67">
        <f t="shared" si="53"/>
        <v>2.9516666666666667E-2</v>
      </c>
      <c r="P232" s="67">
        <f t="shared" si="53"/>
        <v>0.10991666666666668</v>
      </c>
      <c r="Q232" s="67">
        <f t="shared" si="53"/>
        <v>7.3571428571428579E-2</v>
      </c>
      <c r="R232" s="67">
        <f t="shared" si="53"/>
        <v>0</v>
      </c>
      <c r="S232" s="67">
        <f t="shared" si="53"/>
        <v>9.7133333333333335E-2</v>
      </c>
      <c r="T232" s="67">
        <f t="shared" si="53"/>
        <v>7.2222222222222215E-2</v>
      </c>
    </row>
    <row r="233" spans="1:20" s="9" customFormat="1" ht="11.25" customHeight="1">
      <c r="A233" s="171" t="s">
        <v>50</v>
      </c>
      <c r="B233" s="171"/>
      <c r="C233" s="171"/>
      <c r="D233" s="171"/>
      <c r="E233" s="44"/>
      <c r="F233" s="41">
        <f t="shared" ref="F233:T233" si="54">SUM(F216,F226,F231)</f>
        <v>58.294000000000004</v>
      </c>
      <c r="G233" s="42">
        <f t="shared" si="54"/>
        <v>57.208000000000006</v>
      </c>
      <c r="H233" s="42">
        <f t="shared" si="54"/>
        <v>228.23399999999998</v>
      </c>
      <c r="I233" s="42">
        <f t="shared" si="54"/>
        <v>1659.712</v>
      </c>
      <c r="J233" s="41">
        <f t="shared" si="54"/>
        <v>0.79199999999999993</v>
      </c>
      <c r="K233" s="41">
        <f t="shared" si="54"/>
        <v>0.96600000000000008</v>
      </c>
      <c r="L233" s="42">
        <f t="shared" si="54"/>
        <v>90.250000000000014</v>
      </c>
      <c r="M233" s="41">
        <f t="shared" si="54"/>
        <v>82.105000000000004</v>
      </c>
      <c r="N233" s="41">
        <f t="shared" si="54"/>
        <v>8.67</v>
      </c>
      <c r="O233" s="42">
        <f t="shared" si="54"/>
        <v>841.04399999999998</v>
      </c>
      <c r="P233" s="42">
        <f t="shared" si="54"/>
        <v>1228.2260000000001</v>
      </c>
      <c r="Q233" s="41">
        <f t="shared" si="54"/>
        <v>8.3149999999999995</v>
      </c>
      <c r="R233" s="43">
        <f t="shared" si="54"/>
        <v>0.17525000000000002</v>
      </c>
      <c r="S233" s="41">
        <f t="shared" si="54"/>
        <v>364.84</v>
      </c>
      <c r="T233" s="41">
        <f t="shared" si="54"/>
        <v>14.975000000000001</v>
      </c>
    </row>
    <row r="234" spans="1:20" s="9" customFormat="1" ht="11.25" customHeight="1">
      <c r="A234" s="171" t="s">
        <v>51</v>
      </c>
      <c r="B234" s="171"/>
      <c r="C234" s="171"/>
      <c r="D234" s="171"/>
      <c r="E234" s="44"/>
      <c r="F234" s="23">
        <v>90</v>
      </c>
      <c r="G234" s="61">
        <v>92</v>
      </c>
      <c r="H234" s="61">
        <v>383</v>
      </c>
      <c r="I234" s="61">
        <v>2720</v>
      </c>
      <c r="J234" s="23">
        <v>1.4</v>
      </c>
      <c r="K234" s="23">
        <v>1.6</v>
      </c>
      <c r="L234" s="24">
        <v>70</v>
      </c>
      <c r="M234" s="23">
        <v>0.9</v>
      </c>
      <c r="N234" s="24">
        <v>12</v>
      </c>
      <c r="O234" s="24">
        <v>1200</v>
      </c>
      <c r="P234" s="24">
        <v>1200</v>
      </c>
      <c r="Q234" s="24">
        <v>14</v>
      </c>
      <c r="R234" s="61">
        <v>0.1</v>
      </c>
      <c r="S234" s="24">
        <v>300</v>
      </c>
      <c r="T234" s="23">
        <v>18</v>
      </c>
    </row>
    <row r="235" spans="1:20" s="9" customFormat="1" ht="11.25" customHeight="1">
      <c r="A235" s="181" t="s">
        <v>35</v>
      </c>
      <c r="B235" s="181"/>
      <c r="C235" s="181"/>
      <c r="D235" s="181"/>
      <c r="E235" s="44"/>
      <c r="F235" s="66">
        <f t="shared" ref="F235:T235" si="55">F233/F234</f>
        <v>0.64771111111111113</v>
      </c>
      <c r="G235" s="67">
        <f t="shared" si="55"/>
        <v>0.62182608695652175</v>
      </c>
      <c r="H235" s="67">
        <f t="shared" si="55"/>
        <v>0.59591122715404699</v>
      </c>
      <c r="I235" s="67">
        <f t="shared" si="55"/>
        <v>0.6101882352941177</v>
      </c>
      <c r="J235" s="67">
        <f t="shared" si="55"/>
        <v>0.56571428571428573</v>
      </c>
      <c r="K235" s="67">
        <f t="shared" si="55"/>
        <v>0.60375000000000001</v>
      </c>
      <c r="L235" s="67">
        <f t="shared" si="55"/>
        <v>1.2892857142857146</v>
      </c>
      <c r="M235" s="68">
        <f t="shared" si="55"/>
        <v>91.227777777777774</v>
      </c>
      <c r="N235" s="67">
        <f t="shared" si="55"/>
        <v>0.72250000000000003</v>
      </c>
      <c r="O235" s="67">
        <f t="shared" si="55"/>
        <v>0.70086999999999999</v>
      </c>
      <c r="P235" s="67">
        <f t="shared" si="55"/>
        <v>1.0235216666666667</v>
      </c>
      <c r="Q235" s="67">
        <f t="shared" si="55"/>
        <v>0.59392857142857136</v>
      </c>
      <c r="R235" s="68">
        <f t="shared" si="55"/>
        <v>1.7525000000000002</v>
      </c>
      <c r="S235" s="67">
        <f t="shared" si="55"/>
        <v>1.2161333333333333</v>
      </c>
      <c r="T235" s="68">
        <f t="shared" si="55"/>
        <v>0.83194444444444449</v>
      </c>
    </row>
    <row r="236" spans="1:20" s="9" customFormat="1" ht="11.25" customHeight="1">
      <c r="A236" s="5"/>
      <c r="B236" s="5"/>
      <c r="C236" s="69"/>
      <c r="D236" s="69"/>
      <c r="E236" s="70"/>
      <c r="F236" s="11"/>
      <c r="G236" s="6"/>
      <c r="H236" s="8"/>
      <c r="I236" s="8"/>
      <c r="J236" s="6"/>
      <c r="K236" s="6"/>
      <c r="L236" s="6"/>
      <c r="M236" s="160" t="s">
        <v>0</v>
      </c>
      <c r="N236" s="160"/>
      <c r="O236" s="160"/>
      <c r="P236" s="160"/>
      <c r="Q236" s="160"/>
      <c r="R236" s="160"/>
      <c r="S236" s="160"/>
      <c r="T236" s="160"/>
    </row>
    <row r="237" spans="1:20" s="9" customFormat="1" ht="11.25" customHeight="1">
      <c r="A237" s="180" t="s">
        <v>105</v>
      </c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R237" s="180"/>
      <c r="S237" s="180"/>
      <c r="T237" s="180"/>
    </row>
    <row r="238" spans="1:20" s="9" customFormat="1" ht="11.25" customHeight="1">
      <c r="A238" s="10" t="s">
        <v>69</v>
      </c>
      <c r="B238" s="5"/>
      <c r="C238" s="5"/>
      <c r="D238" s="8"/>
      <c r="E238" s="11"/>
      <c r="F238" s="7"/>
      <c r="G238" s="162" t="s">
        <v>70</v>
      </c>
      <c r="H238" s="162"/>
      <c r="I238" s="162"/>
      <c r="J238" s="6"/>
      <c r="K238" s="6"/>
      <c r="L238" s="163"/>
      <c r="M238" s="163"/>
      <c r="N238" s="164"/>
      <c r="O238" s="164"/>
      <c r="P238" s="164"/>
      <c r="Q238" s="164"/>
      <c r="R238" s="6"/>
      <c r="S238" s="6"/>
      <c r="T238" s="6"/>
    </row>
    <row r="239" spans="1:20" s="9" customFormat="1" ht="11.25" customHeight="1">
      <c r="A239" s="5"/>
      <c r="B239" s="5"/>
      <c r="C239" s="5"/>
      <c r="D239" s="182" t="s">
        <v>4</v>
      </c>
      <c r="E239" s="182"/>
      <c r="F239" s="182"/>
      <c r="G239" s="12">
        <v>2</v>
      </c>
      <c r="H239" s="6"/>
      <c r="I239" s="8"/>
      <c r="J239" s="8"/>
      <c r="K239" s="8"/>
      <c r="L239" s="182"/>
      <c r="M239" s="182"/>
      <c r="N239" s="162"/>
      <c r="O239" s="162"/>
      <c r="P239" s="162"/>
      <c r="Q239" s="162"/>
      <c r="R239" s="162"/>
      <c r="S239" s="162"/>
      <c r="T239" s="162"/>
    </row>
    <row r="240" spans="1:20" s="9" customFormat="1" ht="21.75" customHeight="1">
      <c r="A240" s="165" t="s">
        <v>54</v>
      </c>
      <c r="B240" s="165" t="s">
        <v>55</v>
      </c>
      <c r="C240" s="165"/>
      <c r="D240" s="165" t="s">
        <v>7</v>
      </c>
      <c r="E240" s="86"/>
      <c r="F240" s="165" t="s">
        <v>8</v>
      </c>
      <c r="G240" s="165"/>
      <c r="H240" s="165"/>
      <c r="I240" s="165" t="s">
        <v>9</v>
      </c>
      <c r="J240" s="165" t="s">
        <v>10</v>
      </c>
      <c r="K240" s="165"/>
      <c r="L240" s="165"/>
      <c r="M240" s="165"/>
      <c r="N240" s="165"/>
      <c r="O240" s="165" t="s">
        <v>11</v>
      </c>
      <c r="P240" s="165"/>
      <c r="Q240" s="165"/>
      <c r="R240" s="165"/>
      <c r="S240" s="165"/>
      <c r="T240" s="165"/>
    </row>
    <row r="241" spans="1:20" s="9" customFormat="1" ht="21" customHeight="1">
      <c r="A241" s="165"/>
      <c r="B241" s="165"/>
      <c r="C241" s="165"/>
      <c r="D241" s="165"/>
      <c r="E241" s="15"/>
      <c r="F241" s="16" t="s">
        <v>12</v>
      </c>
      <c r="G241" s="13" t="s">
        <v>13</v>
      </c>
      <c r="H241" s="13" t="s">
        <v>14</v>
      </c>
      <c r="I241" s="165"/>
      <c r="J241" s="13" t="s">
        <v>15</v>
      </c>
      <c r="K241" s="13" t="s">
        <v>16</v>
      </c>
      <c r="L241" s="13" t="s">
        <v>17</v>
      </c>
      <c r="M241" s="13" t="s">
        <v>18</v>
      </c>
      <c r="N241" s="13" t="s">
        <v>19</v>
      </c>
      <c r="O241" s="13" t="s">
        <v>20</v>
      </c>
      <c r="P241" s="13" t="s">
        <v>21</v>
      </c>
      <c r="Q241" s="13" t="s">
        <v>22</v>
      </c>
      <c r="R241" s="13" t="s">
        <v>23</v>
      </c>
      <c r="S241" s="13" t="s">
        <v>24</v>
      </c>
      <c r="T241" s="13" t="s">
        <v>25</v>
      </c>
    </row>
    <row r="242" spans="1:20" s="9" customFormat="1" ht="11.25" customHeight="1">
      <c r="A242" s="17">
        <v>1</v>
      </c>
      <c r="B242" s="175">
        <v>2</v>
      </c>
      <c r="C242" s="175"/>
      <c r="D242" s="18">
        <v>3</v>
      </c>
      <c r="E242" s="19"/>
      <c r="F242" s="18">
        <v>4</v>
      </c>
      <c r="G242" s="18">
        <v>5</v>
      </c>
      <c r="H242" s="18">
        <v>6</v>
      </c>
      <c r="I242" s="18">
        <v>7</v>
      </c>
      <c r="J242" s="18">
        <v>8</v>
      </c>
      <c r="K242" s="18">
        <v>9</v>
      </c>
      <c r="L242" s="18">
        <v>10</v>
      </c>
      <c r="M242" s="18">
        <v>11</v>
      </c>
      <c r="N242" s="18">
        <v>12</v>
      </c>
      <c r="O242" s="18">
        <v>13</v>
      </c>
      <c r="P242" s="18">
        <v>14</v>
      </c>
      <c r="Q242" s="18">
        <v>15</v>
      </c>
      <c r="R242" s="18">
        <v>16</v>
      </c>
      <c r="S242" s="18">
        <v>17</v>
      </c>
      <c r="T242" s="18">
        <v>18</v>
      </c>
    </row>
    <row r="243" spans="1:20" s="9" customFormat="1" ht="11.25" customHeight="1">
      <c r="A243" s="176" t="s">
        <v>26</v>
      </c>
      <c r="B243" s="176"/>
      <c r="C243" s="176"/>
      <c r="D243" s="176"/>
      <c r="E243" s="176"/>
      <c r="F243" s="176"/>
      <c r="G243" s="176"/>
      <c r="H243" s="176"/>
      <c r="I243" s="176"/>
      <c r="J243" s="176"/>
      <c r="K243" s="176"/>
      <c r="L243" s="176"/>
      <c r="M243" s="176"/>
      <c r="N243" s="176"/>
      <c r="O243" s="176"/>
      <c r="P243" s="176"/>
      <c r="Q243" s="176"/>
      <c r="R243" s="176"/>
      <c r="S243" s="176"/>
      <c r="T243" s="176"/>
    </row>
    <row r="244" spans="1:20" s="6" customFormat="1" ht="12.75" customHeight="1">
      <c r="A244" s="17" t="s">
        <v>30</v>
      </c>
      <c r="B244" s="167" t="s">
        <v>106</v>
      </c>
      <c r="C244" s="167"/>
      <c r="D244" s="24">
        <v>20</v>
      </c>
      <c r="E244" s="23">
        <v>6.6</v>
      </c>
      <c r="F244" s="26">
        <v>1.7</v>
      </c>
      <c r="G244" s="26">
        <v>1.7</v>
      </c>
      <c r="H244" s="26">
        <v>1.7</v>
      </c>
      <c r="I244" s="26">
        <v>1.7</v>
      </c>
      <c r="J244" s="26">
        <v>1.7</v>
      </c>
      <c r="K244" s="26">
        <v>1.7</v>
      </c>
      <c r="L244" s="26">
        <v>1.7</v>
      </c>
      <c r="M244" s="26">
        <v>1.7</v>
      </c>
      <c r="N244" s="26">
        <v>1.7</v>
      </c>
      <c r="O244" s="26">
        <v>1.7</v>
      </c>
      <c r="P244" s="26">
        <v>1.7</v>
      </c>
      <c r="Q244" s="26">
        <v>1.7</v>
      </c>
      <c r="R244" s="26">
        <v>1.7</v>
      </c>
      <c r="S244" s="26">
        <v>1.7</v>
      </c>
      <c r="T244" s="26">
        <v>1.7</v>
      </c>
    </row>
    <row r="245" spans="1:20" s="6" customFormat="1" ht="21" customHeight="1">
      <c r="A245" s="17">
        <v>222</v>
      </c>
      <c r="B245" s="87" t="s">
        <v>72</v>
      </c>
      <c r="C245" s="88"/>
      <c r="D245" s="24">
        <v>160</v>
      </c>
      <c r="E245" s="23">
        <v>43.93</v>
      </c>
      <c r="F245" s="29">
        <v>14.92</v>
      </c>
      <c r="G245" s="29">
        <v>14.38</v>
      </c>
      <c r="H245" s="29">
        <v>31.51</v>
      </c>
      <c r="I245" s="29">
        <v>315.14</v>
      </c>
      <c r="J245" s="31">
        <v>0.26</v>
      </c>
      <c r="K245" s="31">
        <v>0.40799999999999997</v>
      </c>
      <c r="L245" s="31">
        <v>0.93500000000000005</v>
      </c>
      <c r="M245" s="29">
        <v>0.21299999999999999</v>
      </c>
      <c r="N245" s="57">
        <v>1.36</v>
      </c>
      <c r="O245" s="31">
        <v>215.96</v>
      </c>
      <c r="P245" s="31">
        <v>414.6</v>
      </c>
      <c r="Q245" s="31">
        <v>1.2</v>
      </c>
      <c r="R245" s="57">
        <v>0.02</v>
      </c>
      <c r="S245" s="31">
        <v>93.882999999999996</v>
      </c>
      <c r="T245" s="29">
        <v>2.5329999999999999</v>
      </c>
    </row>
    <row r="246" spans="1:20" s="6" customFormat="1" ht="11.25" customHeight="1">
      <c r="A246" s="34">
        <v>377</v>
      </c>
      <c r="B246" s="166" t="s">
        <v>48</v>
      </c>
      <c r="C246" s="166"/>
      <c r="D246" s="58">
        <v>200</v>
      </c>
      <c r="E246" s="29">
        <v>3.3</v>
      </c>
      <c r="F246" s="132">
        <v>0.26</v>
      </c>
      <c r="G246" s="132">
        <v>0.06</v>
      </c>
      <c r="H246" s="132">
        <v>15.22</v>
      </c>
      <c r="I246" s="132">
        <v>62.46</v>
      </c>
      <c r="J246" s="132">
        <v>0</v>
      </c>
      <c r="K246" s="132">
        <v>0.01</v>
      </c>
      <c r="L246" s="132">
        <v>2.9</v>
      </c>
      <c r="M246" s="133">
        <v>0</v>
      </c>
      <c r="N246" s="132">
        <v>0.06</v>
      </c>
      <c r="O246" s="132">
        <v>8.0500000000000007</v>
      </c>
      <c r="P246" s="132">
        <v>9.7799999999999994</v>
      </c>
      <c r="Q246" s="132">
        <v>1.7000000000000001E-2</v>
      </c>
      <c r="R246" s="136">
        <v>0</v>
      </c>
      <c r="S246" s="132">
        <v>5.24</v>
      </c>
      <c r="T246" s="132">
        <v>0.87</v>
      </c>
    </row>
    <row r="247" spans="1:20" s="6" customFormat="1" ht="11.25" customHeight="1">
      <c r="A247" s="32" t="s">
        <v>30</v>
      </c>
      <c r="B247" s="167" t="s">
        <v>33</v>
      </c>
      <c r="C247" s="167"/>
      <c r="D247" s="24">
        <v>20</v>
      </c>
      <c r="E247" s="23">
        <v>13.46</v>
      </c>
      <c r="F247" s="33">
        <v>0.65</v>
      </c>
      <c r="G247" s="34">
        <v>3.8</v>
      </c>
      <c r="H247" s="35">
        <v>17.600000000000001</v>
      </c>
      <c r="I247" s="33">
        <v>38</v>
      </c>
      <c r="J247" s="33">
        <v>2.5999999999999999E-2</v>
      </c>
      <c r="K247" s="33">
        <v>0.03</v>
      </c>
      <c r="L247" s="33">
        <v>0.13</v>
      </c>
      <c r="M247" s="33">
        <v>11.96</v>
      </c>
      <c r="N247" s="34">
        <v>0.39</v>
      </c>
      <c r="O247" s="33">
        <v>24.18</v>
      </c>
      <c r="P247" s="33">
        <v>49.4</v>
      </c>
      <c r="Q247" s="36">
        <v>0.2</v>
      </c>
      <c r="R247" s="33">
        <v>2E-3</v>
      </c>
      <c r="S247" s="33">
        <v>18.72</v>
      </c>
      <c r="T247" s="33">
        <v>0.182</v>
      </c>
    </row>
    <row r="248" spans="1:20" s="6" customFormat="1" ht="11.25" customHeight="1">
      <c r="A248" s="113" t="s">
        <v>34</v>
      </c>
      <c r="B248" s="90"/>
      <c r="C248" s="90"/>
      <c r="D248" s="39">
        <f>SUM(D244:D247)</f>
        <v>400</v>
      </c>
      <c r="E248" s="40">
        <f t="shared" ref="E248:T248" si="56">SUM(E244:E247)</f>
        <v>67.289999999999992</v>
      </c>
      <c r="F248" s="41">
        <f t="shared" si="56"/>
        <v>17.53</v>
      </c>
      <c r="G248" s="41">
        <f t="shared" si="56"/>
        <v>19.940000000000001</v>
      </c>
      <c r="H248" s="41">
        <f t="shared" si="56"/>
        <v>66.03</v>
      </c>
      <c r="I248" s="41">
        <f t="shared" si="56"/>
        <v>417.29999999999995</v>
      </c>
      <c r="J248" s="41">
        <f t="shared" si="56"/>
        <v>1.986</v>
      </c>
      <c r="K248" s="41">
        <f t="shared" si="56"/>
        <v>2.1479999999999997</v>
      </c>
      <c r="L248" s="41">
        <f t="shared" si="56"/>
        <v>5.665</v>
      </c>
      <c r="M248" s="41">
        <f t="shared" si="56"/>
        <v>13.873000000000001</v>
      </c>
      <c r="N248" s="41">
        <f t="shared" si="56"/>
        <v>3.5100000000000002</v>
      </c>
      <c r="O248" s="41">
        <f t="shared" si="56"/>
        <v>249.89000000000001</v>
      </c>
      <c r="P248" s="41">
        <f t="shared" si="56"/>
        <v>475.47999999999996</v>
      </c>
      <c r="Q248" s="41">
        <f t="shared" si="56"/>
        <v>3.117</v>
      </c>
      <c r="R248" s="41">
        <f t="shared" si="56"/>
        <v>1.722</v>
      </c>
      <c r="S248" s="41">
        <f t="shared" si="56"/>
        <v>119.54299999999999</v>
      </c>
      <c r="T248" s="41">
        <f t="shared" si="56"/>
        <v>5.2850000000000001</v>
      </c>
    </row>
    <row r="249" spans="1:20" s="6" customFormat="1" ht="11.25" customHeight="1">
      <c r="A249" s="181" t="s">
        <v>35</v>
      </c>
      <c r="B249" s="181"/>
      <c r="C249" s="181"/>
      <c r="D249" s="181"/>
      <c r="E249" s="80"/>
      <c r="F249" s="92">
        <f t="shared" ref="F249:T249" si="57">F248/F266</f>
        <v>0.1947777777777778</v>
      </c>
      <c r="G249" s="67">
        <f t="shared" si="57"/>
        <v>0.21673913043478263</v>
      </c>
      <c r="H249" s="67">
        <f t="shared" si="57"/>
        <v>0.17240208877284596</v>
      </c>
      <c r="I249" s="67">
        <f t="shared" si="57"/>
        <v>0.15341911764705882</v>
      </c>
      <c r="J249" s="67">
        <f t="shared" si="57"/>
        <v>1.4185714285714286</v>
      </c>
      <c r="K249" s="67">
        <f t="shared" si="57"/>
        <v>1.3424999999999998</v>
      </c>
      <c r="L249" s="67">
        <f t="shared" si="57"/>
        <v>8.0928571428571433E-2</v>
      </c>
      <c r="M249" s="67">
        <f t="shared" si="57"/>
        <v>15.414444444444445</v>
      </c>
      <c r="N249" s="67">
        <f t="shared" si="57"/>
        <v>0.29250000000000004</v>
      </c>
      <c r="O249" s="67">
        <f t="shared" si="57"/>
        <v>0.20824166666666669</v>
      </c>
      <c r="P249" s="67">
        <f t="shared" si="57"/>
        <v>0.39623333333333333</v>
      </c>
      <c r="Q249" s="67">
        <f t="shared" si="57"/>
        <v>0.22264285714285714</v>
      </c>
      <c r="R249" s="67">
        <f t="shared" si="57"/>
        <v>17.22</v>
      </c>
      <c r="S249" s="67">
        <f t="shared" si="57"/>
        <v>0.39847666666666665</v>
      </c>
      <c r="T249" s="67">
        <f t="shared" si="57"/>
        <v>0.2936111111111111</v>
      </c>
    </row>
    <row r="250" spans="1:20" s="6" customFormat="1" ht="11.25" customHeight="1">
      <c r="A250" s="195" t="s">
        <v>36</v>
      </c>
      <c r="B250" s="195"/>
      <c r="C250" s="195"/>
      <c r="D250" s="195"/>
      <c r="E250" s="195"/>
      <c r="F250" s="195"/>
      <c r="G250" s="195"/>
      <c r="H250" s="195"/>
      <c r="I250" s="195"/>
      <c r="J250" s="195"/>
      <c r="K250" s="195"/>
      <c r="L250" s="195"/>
      <c r="M250" s="195"/>
      <c r="N250" s="195"/>
      <c r="O250" s="195"/>
      <c r="P250" s="195"/>
      <c r="Q250" s="195"/>
      <c r="R250" s="195"/>
      <c r="S250" s="195"/>
      <c r="T250" s="195"/>
    </row>
    <row r="251" spans="1:20" s="6" customFormat="1" ht="21" customHeight="1">
      <c r="A251" s="51" t="s">
        <v>37</v>
      </c>
      <c r="B251" s="166" t="s">
        <v>38</v>
      </c>
      <c r="C251" s="166"/>
      <c r="D251" s="52">
        <v>60</v>
      </c>
      <c r="E251" s="53">
        <v>2.82</v>
      </c>
      <c r="F251" s="53">
        <v>0.9</v>
      </c>
      <c r="G251" s="53">
        <v>1.31</v>
      </c>
      <c r="H251" s="53">
        <v>5.6</v>
      </c>
      <c r="I251" s="53">
        <v>37.79</v>
      </c>
      <c r="J251" s="54">
        <v>0.06</v>
      </c>
      <c r="K251" s="53">
        <v>7.0000000000000007E-2</v>
      </c>
      <c r="L251" s="55">
        <v>15.5</v>
      </c>
      <c r="M251" s="54">
        <v>7.0999999999999994E-2</v>
      </c>
      <c r="N251" s="52">
        <v>0.3</v>
      </c>
      <c r="O251" s="53">
        <v>28.2</v>
      </c>
      <c r="P251" s="53">
        <v>18.899999999999999</v>
      </c>
      <c r="Q251" s="54">
        <v>0.2</v>
      </c>
      <c r="R251" s="54">
        <v>1E-3</v>
      </c>
      <c r="S251" s="53">
        <v>10.5</v>
      </c>
      <c r="T251" s="53">
        <v>0.6</v>
      </c>
    </row>
    <row r="252" spans="1:20" s="6" customFormat="1" ht="11.25" customHeight="1">
      <c r="A252" s="32">
        <v>204</v>
      </c>
      <c r="B252" s="167" t="s">
        <v>107</v>
      </c>
      <c r="C252" s="167"/>
      <c r="D252" s="26">
        <v>250</v>
      </c>
      <c r="E252" s="23">
        <v>8.24</v>
      </c>
      <c r="F252" s="29">
        <v>3.15</v>
      </c>
      <c r="G252" s="57">
        <v>3.55</v>
      </c>
      <c r="H252" s="57">
        <v>20.837499999999999</v>
      </c>
      <c r="I252" s="29">
        <v>104.5</v>
      </c>
      <c r="J252" s="57">
        <v>8.7499999999999994E-2</v>
      </c>
      <c r="K252" s="57">
        <v>7.4999999999999997E-2</v>
      </c>
      <c r="L252" s="57">
        <v>11.3125</v>
      </c>
      <c r="M252" s="57">
        <v>5.8749999999999997E-2</v>
      </c>
      <c r="N252" s="57">
        <v>0.875</v>
      </c>
      <c r="O252" s="57">
        <v>25.737500000000001</v>
      </c>
      <c r="P252" s="57">
        <v>60.237499999999997</v>
      </c>
      <c r="Q252" s="57">
        <v>0.25</v>
      </c>
      <c r="R252" s="57">
        <v>1.25E-3</v>
      </c>
      <c r="S252" s="57">
        <v>18.2</v>
      </c>
      <c r="T252" s="57">
        <v>0.92500000000000004</v>
      </c>
    </row>
    <row r="253" spans="1:20" s="6" customFormat="1" ht="13.5" customHeight="1">
      <c r="A253" s="17">
        <v>259</v>
      </c>
      <c r="B253" s="167" t="s">
        <v>108</v>
      </c>
      <c r="C253" s="167"/>
      <c r="D253" s="24">
        <v>200</v>
      </c>
      <c r="E253" s="23">
        <v>32.36</v>
      </c>
      <c r="F253" s="23">
        <v>14.27</v>
      </c>
      <c r="G253" s="23">
        <v>15.01</v>
      </c>
      <c r="H253" s="23">
        <v>25.51</v>
      </c>
      <c r="I253" s="23">
        <v>294.20999999999998</v>
      </c>
      <c r="J253" s="23">
        <v>0.22</v>
      </c>
      <c r="K253" s="23">
        <v>0.2</v>
      </c>
      <c r="L253" s="23">
        <v>31.3</v>
      </c>
      <c r="M253" s="25">
        <v>8.2000000000000003E-2</v>
      </c>
      <c r="N253" s="26">
        <v>0.49</v>
      </c>
      <c r="O253" s="23">
        <v>42.2</v>
      </c>
      <c r="P253" s="61">
        <v>218.2</v>
      </c>
      <c r="Q253" s="61">
        <v>4.2</v>
      </c>
      <c r="R253" s="25">
        <v>2E-3</v>
      </c>
      <c r="S253" s="23">
        <v>55.87</v>
      </c>
      <c r="T253" s="23">
        <v>3.32</v>
      </c>
    </row>
    <row r="254" spans="1:20" s="6" customFormat="1" ht="30" customHeight="1">
      <c r="A254" s="32">
        <v>349</v>
      </c>
      <c r="B254" s="167" t="s">
        <v>42</v>
      </c>
      <c r="C254" s="167"/>
      <c r="D254" s="24">
        <v>200</v>
      </c>
      <c r="E254" s="23">
        <v>5.76</v>
      </c>
      <c r="F254" s="29">
        <v>0.2</v>
      </c>
      <c r="G254" s="30">
        <v>0</v>
      </c>
      <c r="H254" s="29">
        <v>24.42</v>
      </c>
      <c r="I254" s="29">
        <v>98.56</v>
      </c>
      <c r="J254" s="30">
        <v>0</v>
      </c>
      <c r="K254" s="30">
        <v>0</v>
      </c>
      <c r="L254" s="29">
        <v>26.11</v>
      </c>
      <c r="M254" s="30">
        <v>0</v>
      </c>
      <c r="N254" s="30">
        <v>0</v>
      </c>
      <c r="O254" s="31">
        <v>6.4</v>
      </c>
      <c r="P254" s="31">
        <v>3.6</v>
      </c>
      <c r="Q254" s="58">
        <v>0</v>
      </c>
      <c r="R254" s="58">
        <v>0</v>
      </c>
      <c r="S254" s="31">
        <v>0</v>
      </c>
      <c r="T254" s="29">
        <v>0.18</v>
      </c>
    </row>
    <row r="255" spans="1:20" s="6" customFormat="1" ht="11.25" customHeight="1">
      <c r="A255" s="59" t="s">
        <v>30</v>
      </c>
      <c r="B255" s="167" t="s">
        <v>43</v>
      </c>
      <c r="C255" s="167"/>
      <c r="D255" s="24">
        <v>50</v>
      </c>
      <c r="E255" s="23">
        <v>2.35</v>
      </c>
      <c r="F255" s="23">
        <f>2.64*D255/40</f>
        <v>3.3</v>
      </c>
      <c r="G255" s="23">
        <f>0.48*D255/40</f>
        <v>0.6</v>
      </c>
      <c r="H255" s="23">
        <f>13.68*D255/40</f>
        <v>17.100000000000001</v>
      </c>
      <c r="I255" s="61">
        <f>F255*4+G255*9+H255*4</f>
        <v>87</v>
      </c>
      <c r="J255" s="26">
        <f>0.08*D255/40</f>
        <v>0.1</v>
      </c>
      <c r="K255" s="23">
        <f>0.04*D255/40</f>
        <v>0.05</v>
      </c>
      <c r="L255" s="24">
        <v>0</v>
      </c>
      <c r="M255" s="24">
        <v>0</v>
      </c>
      <c r="N255" s="23">
        <f>2.4*D255/40</f>
        <v>3</v>
      </c>
      <c r="O255" s="23">
        <f>14*D255/40</f>
        <v>17.5</v>
      </c>
      <c r="P255" s="23">
        <f>63.2*D255/40</f>
        <v>79</v>
      </c>
      <c r="Q255" s="23">
        <f>1.2*D255/40</f>
        <v>1.5</v>
      </c>
      <c r="R255" s="25">
        <f>0.001*D255/40</f>
        <v>1.25E-3</v>
      </c>
      <c r="S255" s="23">
        <f>9.4*D255/40</f>
        <v>11.75</v>
      </c>
      <c r="T255" s="26">
        <f>0.78*D255/40</f>
        <v>0.97499999999999998</v>
      </c>
    </row>
    <row r="256" spans="1:20" s="6" customFormat="1" ht="11.25" customHeight="1">
      <c r="A256" s="27" t="s">
        <v>30</v>
      </c>
      <c r="B256" s="173" t="s">
        <v>90</v>
      </c>
      <c r="C256" s="173"/>
      <c r="D256" s="28" t="s">
        <v>91</v>
      </c>
      <c r="E256" s="29">
        <v>31</v>
      </c>
      <c r="F256" s="29">
        <v>1</v>
      </c>
      <c r="G256" s="29">
        <v>0.2</v>
      </c>
      <c r="H256" s="29">
        <v>20.2</v>
      </c>
      <c r="I256" s="29">
        <v>86.6</v>
      </c>
      <c r="J256" s="30">
        <v>0.02</v>
      </c>
      <c r="K256" s="30">
        <v>0.02</v>
      </c>
      <c r="L256" s="31">
        <v>4.8</v>
      </c>
      <c r="M256" s="30">
        <v>0</v>
      </c>
      <c r="N256" s="30">
        <v>0</v>
      </c>
      <c r="O256" s="31">
        <v>14</v>
      </c>
      <c r="P256" s="31">
        <v>18</v>
      </c>
      <c r="Q256" s="31">
        <v>0.03</v>
      </c>
      <c r="R256" s="31">
        <v>0</v>
      </c>
      <c r="S256" s="31">
        <v>8</v>
      </c>
      <c r="T256" s="29">
        <v>0.72</v>
      </c>
    </row>
    <row r="257" spans="1:20" s="6" customFormat="1" ht="11.25" customHeight="1">
      <c r="A257" s="77" t="s">
        <v>30</v>
      </c>
      <c r="B257" s="198" t="s">
        <v>33</v>
      </c>
      <c r="C257" s="198"/>
      <c r="D257" s="118">
        <v>15</v>
      </c>
      <c r="E257" s="119">
        <v>7.47</v>
      </c>
      <c r="F257" s="33">
        <v>0.65</v>
      </c>
      <c r="G257" s="34">
        <v>3.8</v>
      </c>
      <c r="H257" s="35">
        <v>17.600000000000001</v>
      </c>
      <c r="I257" s="33">
        <v>38</v>
      </c>
      <c r="J257" s="33">
        <v>2.5999999999999999E-2</v>
      </c>
      <c r="K257" s="33">
        <v>0.03</v>
      </c>
      <c r="L257" s="33">
        <v>0.13</v>
      </c>
      <c r="M257" s="33">
        <v>11.96</v>
      </c>
      <c r="N257" s="34">
        <v>0.39</v>
      </c>
      <c r="O257" s="33">
        <v>24.18</v>
      </c>
      <c r="P257" s="33">
        <v>49.4</v>
      </c>
      <c r="Q257" s="36">
        <v>0.2</v>
      </c>
      <c r="R257" s="33">
        <v>2E-3</v>
      </c>
      <c r="S257" s="33">
        <v>18.72</v>
      </c>
      <c r="T257" s="33">
        <v>0.182</v>
      </c>
    </row>
    <row r="258" spans="1:20" s="6" customFormat="1" ht="11.25" customHeight="1">
      <c r="A258" s="62" t="s">
        <v>45</v>
      </c>
      <c r="B258" s="63"/>
      <c r="C258" s="63"/>
      <c r="D258" s="120">
        <f>SUM(D251:D257)</f>
        <v>775</v>
      </c>
      <c r="E258" s="121">
        <f>SUM(E251:E257)</f>
        <v>90</v>
      </c>
      <c r="F258" s="41">
        <f t="shared" ref="F258:T258" si="58">SUM(F251:F255)</f>
        <v>21.82</v>
      </c>
      <c r="G258" s="42">
        <f t="shared" si="58"/>
        <v>20.47</v>
      </c>
      <c r="H258" s="42">
        <f t="shared" si="58"/>
        <v>93.467500000000001</v>
      </c>
      <c r="I258" s="42">
        <f t="shared" si="58"/>
        <v>622.05999999999995</v>
      </c>
      <c r="J258" s="41">
        <f t="shared" si="58"/>
        <v>0.46750000000000003</v>
      </c>
      <c r="K258" s="41">
        <f t="shared" si="58"/>
        <v>0.39500000000000002</v>
      </c>
      <c r="L258" s="42">
        <f t="shared" si="58"/>
        <v>84.222499999999997</v>
      </c>
      <c r="M258" s="41">
        <f t="shared" si="58"/>
        <v>0.21174999999999999</v>
      </c>
      <c r="N258" s="43">
        <f t="shared" si="58"/>
        <v>4.665</v>
      </c>
      <c r="O258" s="41">
        <f t="shared" si="58"/>
        <v>120.03750000000001</v>
      </c>
      <c r="P258" s="42">
        <f t="shared" si="58"/>
        <v>379.9375</v>
      </c>
      <c r="Q258" s="41">
        <f t="shared" si="58"/>
        <v>6.15</v>
      </c>
      <c r="R258" s="41">
        <f t="shared" si="58"/>
        <v>5.5000000000000005E-3</v>
      </c>
      <c r="S258" s="41">
        <f t="shared" si="58"/>
        <v>96.32</v>
      </c>
      <c r="T258" s="41">
        <f t="shared" si="58"/>
        <v>5.9999999999999991</v>
      </c>
    </row>
    <row r="259" spans="1:20" s="6" customFormat="1" ht="11.25" customHeight="1">
      <c r="A259" s="181" t="s">
        <v>35</v>
      </c>
      <c r="B259" s="181"/>
      <c r="C259" s="181"/>
      <c r="D259" s="181"/>
      <c r="E259" s="80"/>
      <c r="F259" s="92">
        <f t="shared" ref="F259:T259" si="59">F258/F266</f>
        <v>0.24244444444444443</v>
      </c>
      <c r="G259" s="67">
        <f t="shared" si="59"/>
        <v>0.22249999999999998</v>
      </c>
      <c r="H259" s="67">
        <f t="shared" si="59"/>
        <v>0.24404046997389034</v>
      </c>
      <c r="I259" s="67">
        <f t="shared" si="59"/>
        <v>0.22869852941176469</v>
      </c>
      <c r="J259" s="67">
        <f t="shared" si="59"/>
        <v>0.33392857142857146</v>
      </c>
      <c r="K259" s="67">
        <f t="shared" si="59"/>
        <v>0.24687500000000001</v>
      </c>
      <c r="L259" s="67">
        <f t="shared" si="59"/>
        <v>1.2031785714285714</v>
      </c>
      <c r="M259" s="67">
        <f t="shared" si="59"/>
        <v>0.23527777777777775</v>
      </c>
      <c r="N259" s="67">
        <f t="shared" si="59"/>
        <v>0.38874999999999998</v>
      </c>
      <c r="O259" s="67">
        <f t="shared" si="59"/>
        <v>0.10003125</v>
      </c>
      <c r="P259" s="67">
        <f t="shared" si="59"/>
        <v>0.31661458333333331</v>
      </c>
      <c r="Q259" s="67">
        <f t="shared" si="59"/>
        <v>0.43928571428571433</v>
      </c>
      <c r="R259" s="67">
        <f t="shared" si="59"/>
        <v>5.5E-2</v>
      </c>
      <c r="S259" s="67">
        <f t="shared" si="59"/>
        <v>0.32106666666666667</v>
      </c>
      <c r="T259" s="67">
        <f t="shared" si="59"/>
        <v>0.33333333333333326</v>
      </c>
    </row>
    <row r="260" spans="1:20" s="6" customFormat="1" ht="11.25" customHeight="1">
      <c r="A260" s="176" t="s">
        <v>46</v>
      </c>
      <c r="B260" s="176"/>
      <c r="C260" s="176"/>
      <c r="D260" s="176"/>
      <c r="E260" s="176"/>
      <c r="F260" s="176"/>
      <c r="G260" s="176"/>
      <c r="H260" s="176"/>
      <c r="I260" s="176"/>
      <c r="J260" s="176"/>
      <c r="K260" s="176"/>
      <c r="L260" s="176"/>
      <c r="M260" s="176"/>
      <c r="N260" s="176"/>
      <c r="O260" s="176"/>
      <c r="P260" s="176"/>
      <c r="Q260" s="176"/>
      <c r="R260" s="176"/>
      <c r="S260" s="176"/>
      <c r="T260" s="176"/>
    </row>
    <row r="261" spans="1:20" s="6" customFormat="1" ht="11.25" customHeight="1">
      <c r="A261" s="17"/>
      <c r="B261" s="167" t="s">
        <v>109</v>
      </c>
      <c r="C261" s="167"/>
      <c r="D261" s="24">
        <v>90</v>
      </c>
      <c r="E261" s="23">
        <v>16.190000000000001</v>
      </c>
      <c r="F261" s="23">
        <v>11</v>
      </c>
      <c r="G261" s="61">
        <v>9.5</v>
      </c>
      <c r="H261" s="61">
        <v>31.5</v>
      </c>
      <c r="I261" s="23">
        <f>F261*4+G261*9+H261*4</f>
        <v>255.5</v>
      </c>
      <c r="J261" s="23">
        <v>0.1</v>
      </c>
      <c r="K261" s="23">
        <v>0.3</v>
      </c>
      <c r="L261" s="23">
        <v>0.6</v>
      </c>
      <c r="M261" s="23">
        <v>0.13</v>
      </c>
      <c r="N261" s="23">
        <v>1.8</v>
      </c>
      <c r="O261" s="23">
        <v>18.600000000000001</v>
      </c>
      <c r="P261" s="23">
        <v>113.8</v>
      </c>
      <c r="Q261" s="23">
        <v>1.63</v>
      </c>
      <c r="R261" s="23">
        <v>0.01</v>
      </c>
      <c r="S261" s="23">
        <v>17.399999999999999</v>
      </c>
      <c r="T261" s="23">
        <v>0.6</v>
      </c>
    </row>
    <row r="262" spans="1:20" s="6" customFormat="1" ht="12" customHeight="1">
      <c r="A262" s="17">
        <v>379</v>
      </c>
      <c r="B262" s="167" t="s">
        <v>66</v>
      </c>
      <c r="C262" s="167"/>
      <c r="D262" s="24">
        <v>200</v>
      </c>
      <c r="E262" s="23">
        <v>13.81</v>
      </c>
      <c r="F262" s="23">
        <v>3.17</v>
      </c>
      <c r="G262" s="23">
        <v>2.68</v>
      </c>
      <c r="H262" s="23">
        <v>15.95</v>
      </c>
      <c r="I262" s="23">
        <f>F262*4+G262*9+H262*4</f>
        <v>100.6</v>
      </c>
      <c r="J262" s="26">
        <v>0.04</v>
      </c>
      <c r="K262" s="26">
        <v>0.15</v>
      </c>
      <c r="L262" s="61">
        <v>1.3</v>
      </c>
      <c r="M262" s="26">
        <v>0.03</v>
      </c>
      <c r="N262" s="26">
        <v>0.06</v>
      </c>
      <c r="O262" s="61">
        <v>120.4</v>
      </c>
      <c r="P262" s="61">
        <v>90</v>
      </c>
      <c r="Q262" s="61">
        <v>1.1000000000000001</v>
      </c>
      <c r="R262" s="61">
        <v>0.01</v>
      </c>
      <c r="S262" s="61">
        <v>14</v>
      </c>
      <c r="T262" s="23">
        <v>0.12</v>
      </c>
    </row>
    <row r="263" spans="1:20" s="9" customFormat="1" ht="11.25" customHeight="1">
      <c r="A263" s="62" t="s">
        <v>49</v>
      </c>
      <c r="B263" s="63"/>
      <c r="C263" s="63"/>
      <c r="D263" s="39">
        <f t="shared" ref="D263:T263" si="60">SUM(D261:D262)</f>
        <v>290</v>
      </c>
      <c r="E263" s="40">
        <f t="shared" si="60"/>
        <v>30</v>
      </c>
      <c r="F263" s="41">
        <f t="shared" si="60"/>
        <v>14.17</v>
      </c>
      <c r="G263" s="42">
        <f t="shared" si="60"/>
        <v>12.18</v>
      </c>
      <c r="H263" s="42">
        <f t="shared" si="60"/>
        <v>47.45</v>
      </c>
      <c r="I263" s="42">
        <f t="shared" si="60"/>
        <v>356.1</v>
      </c>
      <c r="J263" s="42">
        <f t="shared" si="60"/>
        <v>0.14000000000000001</v>
      </c>
      <c r="K263" s="42">
        <f t="shared" si="60"/>
        <v>0.44999999999999996</v>
      </c>
      <c r="L263" s="42">
        <f t="shared" si="60"/>
        <v>1.9</v>
      </c>
      <c r="M263" s="42">
        <f t="shared" si="60"/>
        <v>0.16</v>
      </c>
      <c r="N263" s="42">
        <f t="shared" si="60"/>
        <v>1.86</v>
      </c>
      <c r="O263" s="42">
        <f t="shared" si="60"/>
        <v>139</v>
      </c>
      <c r="P263" s="42">
        <f t="shared" si="60"/>
        <v>203.8</v>
      </c>
      <c r="Q263" s="42">
        <f t="shared" si="60"/>
        <v>2.73</v>
      </c>
      <c r="R263" s="43">
        <f t="shared" si="60"/>
        <v>0.02</v>
      </c>
      <c r="S263" s="42">
        <f t="shared" si="60"/>
        <v>31.4</v>
      </c>
      <c r="T263" s="42">
        <f t="shared" si="60"/>
        <v>0.72</v>
      </c>
    </row>
    <row r="264" spans="1:20" s="9" customFormat="1" ht="11.25" customHeight="1">
      <c r="A264" s="181" t="s">
        <v>35</v>
      </c>
      <c r="B264" s="181"/>
      <c r="C264" s="181"/>
      <c r="D264" s="181"/>
      <c r="E264" s="44"/>
      <c r="F264" s="66">
        <f t="shared" ref="F264:T264" si="61">F263/F266</f>
        <v>0.15744444444444444</v>
      </c>
      <c r="G264" s="67">
        <f t="shared" si="61"/>
        <v>0.13239130434782609</v>
      </c>
      <c r="H264" s="67">
        <f t="shared" si="61"/>
        <v>0.12389033942558747</v>
      </c>
      <c r="I264" s="67">
        <f t="shared" si="61"/>
        <v>0.13091911764705882</v>
      </c>
      <c r="J264" s="67">
        <f t="shared" si="61"/>
        <v>0.10000000000000002</v>
      </c>
      <c r="K264" s="67">
        <f t="shared" si="61"/>
        <v>0.28124999999999994</v>
      </c>
      <c r="L264" s="67">
        <f t="shared" si="61"/>
        <v>2.7142857142857142E-2</v>
      </c>
      <c r="M264" s="67">
        <f t="shared" si="61"/>
        <v>0.17777777777777778</v>
      </c>
      <c r="N264" s="67">
        <f t="shared" si="61"/>
        <v>0.155</v>
      </c>
      <c r="O264" s="67">
        <f t="shared" si="61"/>
        <v>0.11583333333333333</v>
      </c>
      <c r="P264" s="67">
        <f t="shared" si="61"/>
        <v>0.16983333333333334</v>
      </c>
      <c r="Q264" s="67">
        <f t="shared" si="61"/>
        <v>0.19500000000000001</v>
      </c>
      <c r="R264" s="67">
        <f t="shared" si="61"/>
        <v>0.19999999999999998</v>
      </c>
      <c r="S264" s="67">
        <f t="shared" si="61"/>
        <v>0.10466666666666666</v>
      </c>
      <c r="T264" s="67">
        <f t="shared" si="61"/>
        <v>0.04</v>
      </c>
    </row>
    <row r="265" spans="1:20" s="9" customFormat="1" ht="11.25" customHeight="1">
      <c r="A265" s="171" t="s">
        <v>50</v>
      </c>
      <c r="B265" s="171"/>
      <c r="C265" s="171"/>
      <c r="D265" s="171"/>
      <c r="E265" s="44"/>
      <c r="F265" s="41">
        <f t="shared" ref="F265:T265" si="62">SUM(F248,F258,F263)</f>
        <v>53.52</v>
      </c>
      <c r="G265" s="42">
        <f t="shared" si="62"/>
        <v>52.589999999999996</v>
      </c>
      <c r="H265" s="42">
        <f t="shared" si="62"/>
        <v>206.94749999999999</v>
      </c>
      <c r="I265" s="42">
        <f t="shared" si="62"/>
        <v>1395.46</v>
      </c>
      <c r="J265" s="41">
        <f t="shared" si="62"/>
        <v>2.5935000000000001</v>
      </c>
      <c r="K265" s="41">
        <f t="shared" si="62"/>
        <v>2.9929999999999994</v>
      </c>
      <c r="L265" s="42">
        <f t="shared" si="62"/>
        <v>91.787500000000009</v>
      </c>
      <c r="M265" s="41">
        <f t="shared" si="62"/>
        <v>14.244750000000002</v>
      </c>
      <c r="N265" s="41">
        <f t="shared" si="62"/>
        <v>10.035</v>
      </c>
      <c r="O265" s="42">
        <f t="shared" si="62"/>
        <v>508.92750000000001</v>
      </c>
      <c r="P265" s="42">
        <f t="shared" si="62"/>
        <v>1059.2175</v>
      </c>
      <c r="Q265" s="41">
        <f t="shared" si="62"/>
        <v>11.997</v>
      </c>
      <c r="R265" s="43">
        <f t="shared" si="62"/>
        <v>1.7475000000000001</v>
      </c>
      <c r="S265" s="41">
        <f t="shared" si="62"/>
        <v>247.26300000000001</v>
      </c>
      <c r="T265" s="41">
        <f t="shared" si="62"/>
        <v>12.005000000000001</v>
      </c>
    </row>
    <row r="266" spans="1:20" s="9" customFormat="1" ht="11.25" customHeight="1">
      <c r="A266" s="171" t="s">
        <v>51</v>
      </c>
      <c r="B266" s="171"/>
      <c r="C266" s="171"/>
      <c r="D266" s="171"/>
      <c r="E266" s="44"/>
      <c r="F266" s="23">
        <v>90</v>
      </c>
      <c r="G266" s="61">
        <v>92</v>
      </c>
      <c r="H266" s="61">
        <v>383</v>
      </c>
      <c r="I266" s="61">
        <v>2720</v>
      </c>
      <c r="J266" s="23">
        <v>1.4</v>
      </c>
      <c r="K266" s="23">
        <v>1.6</v>
      </c>
      <c r="L266" s="24">
        <v>70</v>
      </c>
      <c r="M266" s="23">
        <v>0.9</v>
      </c>
      <c r="N266" s="24">
        <v>12</v>
      </c>
      <c r="O266" s="24">
        <v>1200</v>
      </c>
      <c r="P266" s="24">
        <v>1200</v>
      </c>
      <c r="Q266" s="24">
        <v>14</v>
      </c>
      <c r="R266" s="61">
        <v>0.1</v>
      </c>
      <c r="S266" s="24">
        <v>300</v>
      </c>
      <c r="T266" s="23">
        <v>18</v>
      </c>
    </row>
    <row r="267" spans="1:20" s="9" customFormat="1" ht="11.25" customHeight="1">
      <c r="A267" s="181" t="s">
        <v>35</v>
      </c>
      <c r="B267" s="181"/>
      <c r="C267" s="181"/>
      <c r="D267" s="181"/>
      <c r="E267" s="44"/>
      <c r="F267" s="66">
        <f t="shared" ref="F267:T267" si="63">F265/F266</f>
        <v>0.59466666666666668</v>
      </c>
      <c r="G267" s="67">
        <f t="shared" si="63"/>
        <v>0.57163043478260867</v>
      </c>
      <c r="H267" s="67">
        <f t="shared" si="63"/>
        <v>0.54033289817232377</v>
      </c>
      <c r="I267" s="67">
        <f t="shared" si="63"/>
        <v>0.51303676470588233</v>
      </c>
      <c r="J267" s="67">
        <f t="shared" si="63"/>
        <v>1.8525000000000003</v>
      </c>
      <c r="K267" s="67">
        <f t="shared" si="63"/>
        <v>1.8706249999999995</v>
      </c>
      <c r="L267" s="67">
        <f t="shared" si="63"/>
        <v>1.31125</v>
      </c>
      <c r="M267" s="68">
        <f t="shared" si="63"/>
        <v>15.827500000000001</v>
      </c>
      <c r="N267" s="67">
        <f t="shared" si="63"/>
        <v>0.83625000000000005</v>
      </c>
      <c r="O267" s="67">
        <f t="shared" si="63"/>
        <v>0.42410625000000002</v>
      </c>
      <c r="P267" s="67">
        <f t="shared" si="63"/>
        <v>0.88268124999999997</v>
      </c>
      <c r="Q267" s="67">
        <f t="shared" si="63"/>
        <v>0.85692857142857137</v>
      </c>
      <c r="R267" s="68">
        <f t="shared" si="63"/>
        <v>17.474999999999998</v>
      </c>
      <c r="S267" s="67">
        <f t="shared" si="63"/>
        <v>0.82421</v>
      </c>
      <c r="T267" s="68">
        <f t="shared" si="63"/>
        <v>0.66694444444444445</v>
      </c>
    </row>
    <row r="268" spans="1:20" s="9" customFormat="1" ht="11.25" customHeight="1">
      <c r="A268" s="5" t="s">
        <v>67</v>
      </c>
      <c r="B268" s="5"/>
      <c r="C268" s="69"/>
      <c r="D268" s="69"/>
      <c r="E268" s="70"/>
      <c r="F268" s="11"/>
      <c r="G268" s="6"/>
      <c r="H268" s="8"/>
      <c r="I268" s="8"/>
      <c r="J268" s="6"/>
      <c r="K268" s="6"/>
      <c r="L268" s="6"/>
      <c r="M268" s="160" t="s">
        <v>0</v>
      </c>
      <c r="N268" s="160"/>
      <c r="O268" s="160"/>
      <c r="P268" s="160"/>
      <c r="Q268" s="160"/>
      <c r="R268" s="160"/>
      <c r="S268" s="160"/>
      <c r="T268" s="160"/>
    </row>
    <row r="269" spans="1:20" s="9" customFormat="1" ht="11.25" customHeight="1">
      <c r="A269" s="5"/>
      <c r="B269" s="5"/>
      <c r="C269" s="69"/>
      <c r="D269" s="69"/>
      <c r="E269" s="70"/>
      <c r="F269" s="11"/>
      <c r="G269" s="6"/>
      <c r="H269" s="8"/>
      <c r="I269" s="8"/>
      <c r="J269" s="6"/>
      <c r="K269" s="6"/>
      <c r="L269" s="6"/>
      <c r="M269" s="85"/>
      <c r="N269" s="85"/>
      <c r="O269" s="85"/>
      <c r="P269" s="85"/>
      <c r="Q269" s="85"/>
      <c r="R269" s="85"/>
      <c r="S269" s="85"/>
      <c r="T269" s="85"/>
    </row>
    <row r="270" spans="1:20" s="9" customFormat="1" ht="11.25" customHeight="1">
      <c r="A270" s="180" t="s">
        <v>110</v>
      </c>
      <c r="B270" s="180"/>
      <c r="C270" s="180"/>
      <c r="D270" s="180"/>
      <c r="E270" s="180"/>
      <c r="F270" s="180"/>
      <c r="G270" s="180"/>
      <c r="H270" s="180"/>
      <c r="I270" s="180"/>
      <c r="J270" s="180"/>
      <c r="K270" s="180"/>
      <c r="L270" s="180"/>
      <c r="M270" s="180"/>
      <c r="N270" s="180"/>
      <c r="O270" s="180"/>
      <c r="P270" s="180"/>
      <c r="Q270" s="180"/>
      <c r="R270" s="180"/>
      <c r="S270" s="180"/>
      <c r="T270" s="180"/>
    </row>
    <row r="271" spans="1:20" s="9" customFormat="1" ht="11.25" customHeight="1">
      <c r="A271" s="10" t="s">
        <v>2</v>
      </c>
      <c r="B271" s="5"/>
      <c r="C271" s="5"/>
      <c r="D271" s="8"/>
      <c r="E271" s="11"/>
      <c r="F271" s="7"/>
      <c r="G271" s="162" t="s">
        <v>80</v>
      </c>
      <c r="H271" s="162"/>
      <c r="I271" s="162"/>
      <c r="J271" s="6"/>
      <c r="K271" s="6"/>
      <c r="L271" s="163"/>
      <c r="M271" s="163"/>
      <c r="N271" s="164"/>
      <c r="O271" s="164"/>
      <c r="P271" s="164"/>
      <c r="Q271" s="164"/>
      <c r="R271" s="6"/>
      <c r="S271" s="6"/>
      <c r="T271" s="6"/>
    </row>
    <row r="272" spans="1:20" s="9" customFormat="1" ht="11.25" customHeight="1">
      <c r="A272" s="5"/>
      <c r="B272" s="5"/>
      <c r="C272" s="5"/>
      <c r="D272" s="182" t="s">
        <v>4</v>
      </c>
      <c r="E272" s="182"/>
      <c r="F272" s="182"/>
      <c r="G272" s="12">
        <v>2</v>
      </c>
      <c r="H272" s="6"/>
      <c r="I272" s="8"/>
      <c r="J272" s="8"/>
      <c r="K272" s="8"/>
      <c r="L272" s="182"/>
      <c r="M272" s="182"/>
      <c r="N272" s="162"/>
      <c r="O272" s="162"/>
      <c r="P272" s="162"/>
      <c r="Q272" s="162"/>
      <c r="R272" s="162"/>
      <c r="S272" s="162"/>
      <c r="T272" s="162"/>
    </row>
    <row r="273" spans="1:20" s="9" customFormat="1" ht="21.75" customHeight="1">
      <c r="A273" s="165" t="s">
        <v>54</v>
      </c>
      <c r="B273" s="165" t="s">
        <v>55</v>
      </c>
      <c r="C273" s="165"/>
      <c r="D273" s="165" t="s">
        <v>7</v>
      </c>
      <c r="E273" s="86"/>
      <c r="F273" s="165" t="s">
        <v>8</v>
      </c>
      <c r="G273" s="165"/>
      <c r="H273" s="165"/>
      <c r="I273" s="165" t="s">
        <v>9</v>
      </c>
      <c r="J273" s="165" t="s">
        <v>10</v>
      </c>
      <c r="K273" s="165"/>
      <c r="L273" s="165"/>
      <c r="M273" s="165"/>
      <c r="N273" s="165"/>
      <c r="O273" s="165" t="s">
        <v>11</v>
      </c>
      <c r="P273" s="165"/>
      <c r="Q273" s="165"/>
      <c r="R273" s="165"/>
      <c r="S273" s="165"/>
      <c r="T273" s="165"/>
    </row>
    <row r="274" spans="1:20" s="9" customFormat="1" ht="21" customHeight="1">
      <c r="A274" s="165"/>
      <c r="B274" s="165"/>
      <c r="C274" s="165"/>
      <c r="D274" s="165"/>
      <c r="E274" s="15"/>
      <c r="F274" s="16" t="s">
        <v>12</v>
      </c>
      <c r="G274" s="13" t="s">
        <v>13</v>
      </c>
      <c r="H274" s="13" t="s">
        <v>14</v>
      </c>
      <c r="I274" s="165"/>
      <c r="J274" s="13" t="s">
        <v>15</v>
      </c>
      <c r="K274" s="13" t="s">
        <v>16</v>
      </c>
      <c r="L274" s="13" t="s">
        <v>17</v>
      </c>
      <c r="M274" s="13" t="s">
        <v>18</v>
      </c>
      <c r="N274" s="13" t="s">
        <v>19</v>
      </c>
      <c r="O274" s="13" t="s">
        <v>20</v>
      </c>
      <c r="P274" s="13" t="s">
        <v>21</v>
      </c>
      <c r="Q274" s="13" t="s">
        <v>22</v>
      </c>
      <c r="R274" s="13" t="s">
        <v>111</v>
      </c>
      <c r="S274" s="13" t="s">
        <v>24</v>
      </c>
      <c r="T274" s="13" t="s">
        <v>25</v>
      </c>
    </row>
    <row r="275" spans="1:20" s="9" customFormat="1" ht="11.25" customHeight="1">
      <c r="A275" s="17">
        <v>1</v>
      </c>
      <c r="B275" s="175">
        <v>2</v>
      </c>
      <c r="C275" s="175"/>
      <c r="D275" s="18">
        <v>3</v>
      </c>
      <c r="E275" s="19"/>
      <c r="F275" s="19">
        <v>4</v>
      </c>
      <c r="G275" s="18">
        <v>5</v>
      </c>
      <c r="H275" s="18">
        <v>6</v>
      </c>
      <c r="I275" s="18">
        <v>7</v>
      </c>
      <c r="J275" s="18">
        <v>8</v>
      </c>
      <c r="K275" s="18">
        <v>9</v>
      </c>
      <c r="L275" s="18">
        <v>10</v>
      </c>
      <c r="M275" s="18">
        <v>11</v>
      </c>
      <c r="N275" s="18">
        <v>12</v>
      </c>
      <c r="O275" s="18">
        <v>13</v>
      </c>
      <c r="P275" s="18">
        <v>14</v>
      </c>
      <c r="Q275" s="18">
        <v>15</v>
      </c>
      <c r="R275" s="18">
        <v>16</v>
      </c>
      <c r="S275" s="18">
        <v>17</v>
      </c>
      <c r="T275" s="18">
        <v>18</v>
      </c>
    </row>
    <row r="276" spans="1:20" s="9" customFormat="1" ht="11.25" customHeight="1">
      <c r="A276" s="176" t="s">
        <v>56</v>
      </c>
      <c r="B276" s="176"/>
      <c r="C276" s="176"/>
      <c r="D276" s="176"/>
      <c r="E276" s="176"/>
      <c r="F276" s="176"/>
      <c r="G276" s="176"/>
      <c r="H276" s="176"/>
      <c r="I276" s="176"/>
      <c r="J276" s="176"/>
      <c r="K276" s="176"/>
      <c r="L276" s="176"/>
      <c r="M276" s="176"/>
      <c r="N276" s="176"/>
      <c r="O276" s="176"/>
      <c r="P276" s="176"/>
      <c r="Q276" s="176"/>
      <c r="R276" s="176"/>
      <c r="S276" s="176"/>
      <c r="T276" s="176"/>
    </row>
    <row r="277" spans="1:20" s="6" customFormat="1" ht="23.25" customHeight="1">
      <c r="A277" s="71" t="s">
        <v>30</v>
      </c>
      <c r="B277" s="167" t="s">
        <v>57</v>
      </c>
      <c r="C277" s="167"/>
      <c r="D277" s="72">
        <v>40</v>
      </c>
      <c r="E277" s="73">
        <v>4.2</v>
      </c>
      <c r="F277" s="73">
        <f>0.5*D277/60</f>
        <v>0.33333333333333331</v>
      </c>
      <c r="G277" s="73">
        <f>0.03*D277/30</f>
        <v>0.04</v>
      </c>
      <c r="H277" s="73">
        <f>1.7*D277/60</f>
        <v>1.1333333333333333</v>
      </c>
      <c r="I277" s="73">
        <f>F277*4+G277*9+H277*4</f>
        <v>6.2266666666666666</v>
      </c>
      <c r="J277" s="74">
        <v>8.9999999999999993E-3</v>
      </c>
      <c r="K277" s="73">
        <v>0.01</v>
      </c>
      <c r="L277" s="75">
        <v>3</v>
      </c>
      <c r="M277" s="74">
        <v>3.0000000000000001E-3</v>
      </c>
      <c r="N277" s="72">
        <v>0.03</v>
      </c>
      <c r="O277" s="73">
        <v>6.9</v>
      </c>
      <c r="P277" s="73">
        <v>12.6</v>
      </c>
      <c r="Q277" s="74">
        <v>6.4000000000000001E-2</v>
      </c>
      <c r="R277" s="74">
        <v>1E-3</v>
      </c>
      <c r="S277" s="73">
        <v>4.2</v>
      </c>
      <c r="T277" s="73">
        <v>0.18</v>
      </c>
    </row>
    <row r="278" spans="1:20" s="6" customFormat="1" ht="33.4" customHeight="1">
      <c r="A278" s="155">
        <v>291</v>
      </c>
      <c r="B278" s="167" t="s">
        <v>124</v>
      </c>
      <c r="C278" s="167"/>
      <c r="D278" s="143">
        <v>240</v>
      </c>
      <c r="E278" s="144">
        <v>44.14</v>
      </c>
      <c r="F278" s="29">
        <v>20.3</v>
      </c>
      <c r="G278" s="29">
        <v>17</v>
      </c>
      <c r="H278" s="29">
        <v>35.69</v>
      </c>
      <c r="I278" s="29">
        <v>377</v>
      </c>
      <c r="J278" s="29">
        <v>0.06</v>
      </c>
      <c r="K278" s="29">
        <v>0.66</v>
      </c>
      <c r="L278" s="29">
        <v>1.01</v>
      </c>
      <c r="M278" s="29">
        <v>48</v>
      </c>
      <c r="N278" s="30">
        <v>0</v>
      </c>
      <c r="O278" s="29">
        <v>45.1</v>
      </c>
      <c r="P278" s="29">
        <v>199.3</v>
      </c>
      <c r="Q278" s="58">
        <v>0</v>
      </c>
      <c r="R278" s="58">
        <v>0</v>
      </c>
      <c r="S278" s="29">
        <v>47.5</v>
      </c>
      <c r="T278" s="29">
        <v>2.19</v>
      </c>
    </row>
    <row r="279" spans="1:20" s="6" customFormat="1" ht="11.25" customHeight="1">
      <c r="A279" s="34">
        <v>377</v>
      </c>
      <c r="B279" s="166" t="s">
        <v>48</v>
      </c>
      <c r="C279" s="166"/>
      <c r="D279" s="58">
        <v>200</v>
      </c>
      <c r="E279" s="29">
        <v>3.3</v>
      </c>
      <c r="F279" s="132">
        <v>0.26</v>
      </c>
      <c r="G279" s="132">
        <v>0.06</v>
      </c>
      <c r="H279" s="132">
        <v>15.22</v>
      </c>
      <c r="I279" s="132">
        <v>62.46</v>
      </c>
      <c r="J279" s="132">
        <v>0</v>
      </c>
      <c r="K279" s="132">
        <v>0.01</v>
      </c>
      <c r="L279" s="132">
        <v>2.9</v>
      </c>
      <c r="M279" s="133">
        <v>0</v>
      </c>
      <c r="N279" s="132">
        <v>0.06</v>
      </c>
      <c r="O279" s="132">
        <v>8.0500000000000007</v>
      </c>
      <c r="P279" s="132">
        <v>9.7799999999999994</v>
      </c>
      <c r="Q279" s="132">
        <v>1.7000000000000001E-2</v>
      </c>
      <c r="R279" s="136">
        <v>0</v>
      </c>
      <c r="S279" s="132">
        <v>5.24</v>
      </c>
      <c r="T279" s="132">
        <v>0.87</v>
      </c>
    </row>
    <row r="280" spans="1:20" s="6" customFormat="1" ht="11.25" customHeight="1">
      <c r="A280" s="32" t="s">
        <v>30</v>
      </c>
      <c r="B280" s="167" t="s">
        <v>59</v>
      </c>
      <c r="C280" s="167"/>
      <c r="D280" s="24">
        <v>40</v>
      </c>
      <c r="E280" s="23">
        <v>2.6</v>
      </c>
      <c r="F280" s="23">
        <f>1.52*D280/30</f>
        <v>2.0266666666666664</v>
      </c>
      <c r="G280" s="25">
        <f>0.16*D280/30</f>
        <v>0.21333333333333335</v>
      </c>
      <c r="H280" s="25">
        <f>9.84*D280/30</f>
        <v>13.120000000000001</v>
      </c>
      <c r="I280" s="25">
        <f>F280*4+G280*9+H280*4</f>
        <v>62.506666666666668</v>
      </c>
      <c r="J280" s="25">
        <f>0.02*D280/30</f>
        <v>2.6666666666666668E-2</v>
      </c>
      <c r="K280" s="25">
        <f>0.01*D280/30</f>
        <v>1.3333333333333334E-2</v>
      </c>
      <c r="L280" s="25">
        <f>0.44*D280/30</f>
        <v>0.58666666666666667</v>
      </c>
      <c r="M280" s="25">
        <v>0</v>
      </c>
      <c r="N280" s="25">
        <f>0.7*D280/30</f>
        <v>0.93333333333333335</v>
      </c>
      <c r="O280" s="25">
        <f>4*D280/30</f>
        <v>5.333333333333333</v>
      </c>
      <c r="P280" s="25">
        <f>13*D280/30</f>
        <v>17.333333333333332</v>
      </c>
      <c r="Q280" s="25">
        <f>0.008*D280/30</f>
        <v>1.0666666666666666E-2</v>
      </c>
      <c r="R280" s="25">
        <f>0.001*D280/30</f>
        <v>1.3333333333333333E-3</v>
      </c>
      <c r="S280" s="25">
        <v>0</v>
      </c>
      <c r="T280" s="25">
        <f>0.22*D280/30</f>
        <v>0.29333333333333333</v>
      </c>
    </row>
    <row r="281" spans="1:20" s="6" customFormat="1" ht="11.25" customHeight="1">
      <c r="A281" s="77" t="s">
        <v>30</v>
      </c>
      <c r="B281" s="174" t="s">
        <v>33</v>
      </c>
      <c r="C281" s="174"/>
      <c r="D281" s="24">
        <v>20</v>
      </c>
      <c r="E281" s="23">
        <v>13.05</v>
      </c>
      <c r="F281" s="33">
        <v>0.65</v>
      </c>
      <c r="G281" s="34">
        <v>3.8</v>
      </c>
      <c r="H281" s="35">
        <v>17.600000000000001</v>
      </c>
      <c r="I281" s="33">
        <v>38</v>
      </c>
      <c r="J281" s="33">
        <v>2.5999999999999999E-2</v>
      </c>
      <c r="K281" s="33">
        <v>0.03</v>
      </c>
      <c r="L281" s="33">
        <v>0.13</v>
      </c>
      <c r="M281" s="33">
        <v>11.96</v>
      </c>
      <c r="N281" s="34">
        <v>0.39</v>
      </c>
      <c r="O281" s="33">
        <v>24.18</v>
      </c>
      <c r="P281" s="33">
        <v>49.4</v>
      </c>
      <c r="Q281" s="36">
        <v>0.2</v>
      </c>
      <c r="R281" s="33">
        <v>2E-3</v>
      </c>
      <c r="S281" s="33">
        <v>18.72</v>
      </c>
      <c r="T281" s="33">
        <v>0.182</v>
      </c>
    </row>
    <row r="282" spans="1:20" s="6" customFormat="1" ht="11.25" customHeight="1">
      <c r="A282" s="113" t="s">
        <v>60</v>
      </c>
      <c r="B282" s="90"/>
      <c r="C282" s="90"/>
      <c r="D282" s="39">
        <f>SUM(D277:D281)</f>
        <v>540</v>
      </c>
      <c r="E282" s="40">
        <f>SUM(E277:E281)</f>
        <v>67.290000000000006</v>
      </c>
      <c r="F282" s="41">
        <f t="shared" ref="F282:T282" si="64">SUM(F277:F280)</f>
        <v>22.92</v>
      </c>
      <c r="G282" s="42">
        <f t="shared" si="64"/>
        <v>17.313333333333333</v>
      </c>
      <c r="H282" s="42">
        <f t="shared" si="64"/>
        <v>65.163333333333327</v>
      </c>
      <c r="I282" s="83">
        <f t="shared" si="64"/>
        <v>508.19333333333333</v>
      </c>
      <c r="J282" s="41">
        <f t="shared" si="64"/>
        <v>9.5666666666666664E-2</v>
      </c>
      <c r="K282" s="41">
        <f t="shared" si="64"/>
        <v>0.69333333333333336</v>
      </c>
      <c r="L282" s="41">
        <f t="shared" si="64"/>
        <v>7.496666666666667</v>
      </c>
      <c r="M282" s="41">
        <f t="shared" si="64"/>
        <v>48.003</v>
      </c>
      <c r="N282" s="41">
        <f t="shared" si="64"/>
        <v>1.0233333333333334</v>
      </c>
      <c r="O282" s="41">
        <f t="shared" si="64"/>
        <v>65.383333333333326</v>
      </c>
      <c r="P282" s="41">
        <f t="shared" si="64"/>
        <v>239.01333333333335</v>
      </c>
      <c r="Q282" s="41">
        <f t="shared" si="64"/>
        <v>9.1666666666666674E-2</v>
      </c>
      <c r="R282" s="43">
        <f t="shared" si="64"/>
        <v>2.3333333333333331E-3</v>
      </c>
      <c r="S282" s="41">
        <f t="shared" si="64"/>
        <v>56.940000000000005</v>
      </c>
      <c r="T282" s="41">
        <f t="shared" si="64"/>
        <v>3.5333333333333337</v>
      </c>
    </row>
    <row r="283" spans="1:20" s="6" customFormat="1" ht="11.25" customHeight="1">
      <c r="A283" s="181" t="s">
        <v>35</v>
      </c>
      <c r="B283" s="181"/>
      <c r="C283" s="181"/>
      <c r="D283" s="181"/>
      <c r="E283" s="80"/>
      <c r="F283" s="92">
        <f t="shared" ref="F283:T283" si="65">F282/F301</f>
        <v>0.25466666666666671</v>
      </c>
      <c r="G283" s="67">
        <f t="shared" si="65"/>
        <v>0.18818840579710144</v>
      </c>
      <c r="H283" s="67">
        <f t="shared" si="65"/>
        <v>0.17013925152306353</v>
      </c>
      <c r="I283" s="67">
        <f t="shared" si="65"/>
        <v>0.18683578431372549</v>
      </c>
      <c r="J283" s="67">
        <f t="shared" si="65"/>
        <v>6.8333333333333329E-2</v>
      </c>
      <c r="K283" s="67">
        <f t="shared" si="65"/>
        <v>0.43333333333333335</v>
      </c>
      <c r="L283" s="67">
        <f t="shared" si="65"/>
        <v>0.1070952380952381</v>
      </c>
      <c r="M283" s="67">
        <f t="shared" si="65"/>
        <v>53.336666666666666</v>
      </c>
      <c r="N283" s="67">
        <f t="shared" si="65"/>
        <v>8.5277777777777786E-2</v>
      </c>
      <c r="O283" s="67">
        <f t="shared" si="65"/>
        <v>5.4486111111111103E-2</v>
      </c>
      <c r="P283" s="67">
        <f t="shared" si="65"/>
        <v>0.19917777777777779</v>
      </c>
      <c r="Q283" s="67">
        <f t="shared" si="65"/>
        <v>6.5476190476190478E-3</v>
      </c>
      <c r="R283" s="67">
        <f t="shared" si="65"/>
        <v>2.3333333333333331E-2</v>
      </c>
      <c r="S283" s="67">
        <f t="shared" si="65"/>
        <v>0.18980000000000002</v>
      </c>
      <c r="T283" s="67">
        <f t="shared" si="65"/>
        <v>0.1962962962962963</v>
      </c>
    </row>
    <row r="284" spans="1:20" s="6" customFormat="1" ht="11.25" customHeight="1">
      <c r="A284" s="195" t="s">
        <v>36</v>
      </c>
      <c r="B284" s="195"/>
      <c r="C284" s="195"/>
      <c r="D284" s="195"/>
      <c r="E284" s="195"/>
      <c r="F284" s="195"/>
      <c r="G284" s="195"/>
      <c r="H284" s="195"/>
      <c r="I284" s="195"/>
      <c r="J284" s="195"/>
      <c r="K284" s="195"/>
      <c r="L284" s="195"/>
      <c r="M284" s="195"/>
      <c r="N284" s="195"/>
      <c r="O284" s="195"/>
      <c r="P284" s="195"/>
      <c r="Q284" s="195"/>
      <c r="R284" s="195"/>
      <c r="S284" s="195"/>
      <c r="T284" s="195"/>
    </row>
    <row r="285" spans="1:20" s="6" customFormat="1" ht="21.75" customHeight="1">
      <c r="A285" s="17">
        <v>24</v>
      </c>
      <c r="B285" s="185" t="s">
        <v>73</v>
      </c>
      <c r="C285" s="185"/>
      <c r="D285" s="24">
        <v>60</v>
      </c>
      <c r="E285" s="23">
        <v>6.9</v>
      </c>
      <c r="F285" s="29">
        <v>0.59</v>
      </c>
      <c r="G285" s="29">
        <v>3.69</v>
      </c>
      <c r="H285" s="29">
        <v>2.2400000000000002</v>
      </c>
      <c r="I285" s="29">
        <v>44.52</v>
      </c>
      <c r="J285" s="29">
        <v>0.03</v>
      </c>
      <c r="K285" s="29">
        <v>3.3333333333333333E-2</v>
      </c>
      <c r="L285" s="29">
        <v>10.06</v>
      </c>
      <c r="M285" s="57">
        <v>0</v>
      </c>
      <c r="N285" s="29">
        <v>1.25</v>
      </c>
      <c r="O285" s="29">
        <v>11.21</v>
      </c>
      <c r="P285" s="29">
        <v>20.77</v>
      </c>
      <c r="Q285" s="29">
        <v>0.25</v>
      </c>
      <c r="R285" s="57">
        <v>1.6666666666666668E-3</v>
      </c>
      <c r="S285" s="29">
        <v>9.76</v>
      </c>
      <c r="T285" s="29">
        <v>0.44</v>
      </c>
    </row>
    <row r="286" spans="1:20" s="6" customFormat="1" ht="23.25" customHeight="1">
      <c r="A286" s="17">
        <v>88</v>
      </c>
      <c r="B286" s="185" t="s">
        <v>112</v>
      </c>
      <c r="C286" s="185"/>
      <c r="D286" s="26">
        <v>250</v>
      </c>
      <c r="E286" s="23">
        <v>10.42</v>
      </c>
      <c r="F286" s="29">
        <v>2.44</v>
      </c>
      <c r="G286" s="29">
        <v>6.41</v>
      </c>
      <c r="H286" s="29">
        <v>11.11</v>
      </c>
      <c r="I286" s="29">
        <v>111.89</v>
      </c>
      <c r="J286" s="29">
        <v>0.03</v>
      </c>
      <c r="K286" s="29">
        <v>0.03</v>
      </c>
      <c r="L286" s="29">
        <v>11.39</v>
      </c>
      <c r="M286" s="29">
        <v>0.05</v>
      </c>
      <c r="N286" s="29">
        <v>9.9000000000000005E-2</v>
      </c>
      <c r="O286" s="29">
        <v>45.49</v>
      </c>
      <c r="P286" s="29">
        <v>29.96</v>
      </c>
      <c r="Q286" s="29">
        <v>1.44</v>
      </c>
      <c r="R286" s="57">
        <v>2E-3</v>
      </c>
      <c r="S286" s="29">
        <v>15.35</v>
      </c>
      <c r="T286" s="29">
        <v>0.49</v>
      </c>
    </row>
    <row r="287" spans="1:20" s="6" customFormat="1" ht="13.5" customHeight="1">
      <c r="A287" s="142">
        <v>232</v>
      </c>
      <c r="B287" s="197" t="s">
        <v>63</v>
      </c>
      <c r="C287" s="197"/>
      <c r="D287" s="143">
        <v>90</v>
      </c>
      <c r="E287" s="144">
        <v>34.5</v>
      </c>
      <c r="F287" s="145">
        <v>18.18</v>
      </c>
      <c r="G287" s="145">
        <v>10.863</v>
      </c>
      <c r="H287" s="145">
        <v>1.8720000000000001</v>
      </c>
      <c r="I287" s="145">
        <v>177.97499999999999</v>
      </c>
      <c r="J287" s="145">
        <v>0.18</v>
      </c>
      <c r="K287" s="145">
        <v>0.153</v>
      </c>
      <c r="L287" s="145">
        <v>2.367</v>
      </c>
      <c r="M287" s="146">
        <v>2.8000000000000001E-2</v>
      </c>
      <c r="N287" s="145">
        <v>0.3</v>
      </c>
      <c r="O287" s="145">
        <v>77.5</v>
      </c>
      <c r="P287" s="145">
        <v>37.585999999999999</v>
      </c>
      <c r="Q287" s="147">
        <v>0.8</v>
      </c>
      <c r="R287" s="147">
        <v>0.04</v>
      </c>
      <c r="S287" s="145">
        <v>26.065999999999999</v>
      </c>
      <c r="T287" s="145">
        <v>0.82099999999999995</v>
      </c>
    </row>
    <row r="288" spans="1:20" s="6" customFormat="1" ht="15" customHeight="1">
      <c r="A288" s="129">
        <v>304</v>
      </c>
      <c r="B288" s="177" t="s">
        <v>58</v>
      </c>
      <c r="C288" s="177"/>
      <c r="D288" s="131">
        <v>180</v>
      </c>
      <c r="E288" s="130">
        <v>8.24</v>
      </c>
      <c r="F288" s="145">
        <v>4.4400000000000004</v>
      </c>
      <c r="G288" s="145">
        <v>6.44</v>
      </c>
      <c r="H288" s="145">
        <v>44.015999999999998</v>
      </c>
      <c r="I288" s="145">
        <v>251.82</v>
      </c>
      <c r="J288" s="145">
        <v>3.5999999999999997E-2</v>
      </c>
      <c r="K288" s="145">
        <v>2.4E-2</v>
      </c>
      <c r="L288" s="133">
        <v>0</v>
      </c>
      <c r="M288" s="145">
        <v>4.8000000000000001E-2</v>
      </c>
      <c r="N288" s="133">
        <v>0</v>
      </c>
      <c r="O288" s="147">
        <v>17.928000000000001</v>
      </c>
      <c r="P288" s="147">
        <v>95.256</v>
      </c>
      <c r="Q288" s="137">
        <v>0</v>
      </c>
      <c r="R288" s="138">
        <v>1E-3</v>
      </c>
      <c r="S288" s="147">
        <v>33.468000000000004</v>
      </c>
      <c r="T288" s="145">
        <v>0.70799999999999996</v>
      </c>
    </row>
    <row r="289" spans="1:20" s="6" customFormat="1" ht="12" customHeight="1">
      <c r="A289" s="17">
        <v>699</v>
      </c>
      <c r="B289" s="167" t="s">
        <v>76</v>
      </c>
      <c r="C289" s="167"/>
      <c r="D289" s="24">
        <v>200</v>
      </c>
      <c r="E289" s="23">
        <v>4.08</v>
      </c>
      <c r="F289" s="29">
        <v>0.1</v>
      </c>
      <c r="G289" s="30">
        <v>0</v>
      </c>
      <c r="H289" s="31">
        <v>15.7</v>
      </c>
      <c r="I289" s="29">
        <v>63.2</v>
      </c>
      <c r="J289" s="30">
        <v>1.7999999999999999E-2</v>
      </c>
      <c r="K289" s="30">
        <v>1.2E-2</v>
      </c>
      <c r="L289" s="31">
        <v>8</v>
      </c>
      <c r="M289" s="30">
        <v>0</v>
      </c>
      <c r="N289" s="29">
        <v>0.2</v>
      </c>
      <c r="O289" s="29">
        <v>10.8</v>
      </c>
      <c r="P289" s="29">
        <v>1.7</v>
      </c>
      <c r="Q289" s="29">
        <v>0</v>
      </c>
      <c r="R289" s="57">
        <v>0</v>
      </c>
      <c r="S289" s="29">
        <v>5.8</v>
      </c>
      <c r="T289" s="29">
        <v>1.6</v>
      </c>
    </row>
    <row r="290" spans="1:20" s="6" customFormat="1" ht="11.25" customHeight="1">
      <c r="A290" s="59" t="s">
        <v>30</v>
      </c>
      <c r="B290" s="167" t="s">
        <v>43</v>
      </c>
      <c r="C290" s="167"/>
      <c r="D290" s="24">
        <v>50</v>
      </c>
      <c r="E290" s="23">
        <v>2.35</v>
      </c>
      <c r="F290" s="23">
        <f>2.64*D290/40</f>
        <v>3.3</v>
      </c>
      <c r="G290" s="23">
        <f>0.48*D290/40</f>
        <v>0.6</v>
      </c>
      <c r="H290" s="23">
        <f>13.68*D290/40</f>
        <v>17.100000000000001</v>
      </c>
      <c r="I290" s="61">
        <f>F290*4+G290*9+H290*4</f>
        <v>87</v>
      </c>
      <c r="J290" s="26">
        <f>0.08*D290/40</f>
        <v>0.1</v>
      </c>
      <c r="K290" s="23">
        <f>0.04*D290/40</f>
        <v>0.05</v>
      </c>
      <c r="L290" s="24">
        <v>0</v>
      </c>
      <c r="M290" s="24">
        <v>0</v>
      </c>
      <c r="N290" s="23">
        <f>2.4*D290/40</f>
        <v>3</v>
      </c>
      <c r="O290" s="23">
        <f>14*D290/40</f>
        <v>17.5</v>
      </c>
      <c r="P290" s="23">
        <f>63.2*D290/40</f>
        <v>79</v>
      </c>
      <c r="Q290" s="23">
        <f>1.2*D290/40</f>
        <v>1.5</v>
      </c>
      <c r="R290" s="25">
        <f>0.001*D290/40</f>
        <v>1.25E-3</v>
      </c>
      <c r="S290" s="23">
        <f>9.4*D290/40</f>
        <v>11.75</v>
      </c>
      <c r="T290" s="26">
        <f>0.78*D290/40</f>
        <v>0.97499999999999998</v>
      </c>
    </row>
    <row r="291" spans="1:20" s="6" customFormat="1" ht="11.25" customHeight="1">
      <c r="A291" s="77" t="s">
        <v>30</v>
      </c>
      <c r="B291" s="174" t="s">
        <v>44</v>
      </c>
      <c r="C291" s="174"/>
      <c r="D291" s="24">
        <v>120</v>
      </c>
      <c r="E291" s="23">
        <v>23.51</v>
      </c>
      <c r="F291" s="29">
        <v>0.9</v>
      </c>
      <c r="G291" s="30">
        <v>0.2</v>
      </c>
      <c r="H291" s="31">
        <v>8.1</v>
      </c>
      <c r="I291" s="29">
        <v>136.6</v>
      </c>
      <c r="J291" s="29">
        <v>0.04</v>
      </c>
      <c r="K291" s="29">
        <v>0.03</v>
      </c>
      <c r="L291" s="29">
        <v>60</v>
      </c>
      <c r="M291" s="29">
        <v>0</v>
      </c>
      <c r="N291" s="30">
        <v>0.2</v>
      </c>
      <c r="O291" s="29">
        <v>34</v>
      </c>
      <c r="P291" s="29">
        <v>23</v>
      </c>
      <c r="Q291" s="57">
        <v>0.2</v>
      </c>
      <c r="R291" s="29">
        <v>0</v>
      </c>
      <c r="S291" s="29">
        <v>15</v>
      </c>
      <c r="T291" s="29">
        <v>0.3</v>
      </c>
    </row>
    <row r="292" spans="1:20" s="6" customFormat="1" ht="11.25" customHeight="1">
      <c r="A292" s="62" t="s">
        <v>45</v>
      </c>
      <c r="B292" s="63"/>
      <c r="C292" s="63"/>
      <c r="D292" s="39">
        <f>SUM(D285:D291)</f>
        <v>950</v>
      </c>
      <c r="E292" s="40">
        <f>SUM(E285:E291)</f>
        <v>90</v>
      </c>
      <c r="F292" s="41">
        <f t="shared" ref="F292:T292" si="66">SUM(F285:F290)</f>
        <v>29.050000000000004</v>
      </c>
      <c r="G292" s="42">
        <f t="shared" si="66"/>
        <v>28.003000000000004</v>
      </c>
      <c r="H292" s="42">
        <f t="shared" si="66"/>
        <v>92.038000000000011</v>
      </c>
      <c r="I292" s="42">
        <f t="shared" si="66"/>
        <v>736.40499999999997</v>
      </c>
      <c r="J292" s="42">
        <f t="shared" si="66"/>
        <v>0.39400000000000002</v>
      </c>
      <c r="K292" s="42">
        <f t="shared" si="66"/>
        <v>0.30233333333333329</v>
      </c>
      <c r="L292" s="42">
        <f t="shared" si="66"/>
        <v>31.817000000000004</v>
      </c>
      <c r="M292" s="42">
        <f t="shared" si="66"/>
        <v>0.126</v>
      </c>
      <c r="N292" s="42">
        <f t="shared" si="66"/>
        <v>4.8490000000000002</v>
      </c>
      <c r="O292" s="42">
        <f t="shared" si="66"/>
        <v>180.428</v>
      </c>
      <c r="P292" s="42">
        <f t="shared" si="66"/>
        <v>264.27199999999999</v>
      </c>
      <c r="Q292" s="42">
        <f t="shared" si="66"/>
        <v>3.99</v>
      </c>
      <c r="R292" s="42">
        <f t="shared" si="66"/>
        <v>4.5916666666666668E-2</v>
      </c>
      <c r="S292" s="42">
        <f t="shared" si="66"/>
        <v>102.194</v>
      </c>
      <c r="T292" s="42">
        <f t="shared" si="66"/>
        <v>5.0339999999999989</v>
      </c>
    </row>
    <row r="293" spans="1:20" s="6" customFormat="1" ht="11.25" customHeight="1">
      <c r="A293" s="181" t="s">
        <v>35</v>
      </c>
      <c r="B293" s="181"/>
      <c r="C293" s="181"/>
      <c r="D293" s="181"/>
      <c r="E293" s="80"/>
      <c r="F293" s="92">
        <f t="shared" ref="F293:T293" si="67">F292/F301</f>
        <v>0.32277777777777783</v>
      </c>
      <c r="G293" s="67">
        <f t="shared" si="67"/>
        <v>0.30438043478260873</v>
      </c>
      <c r="H293" s="67">
        <f t="shared" si="67"/>
        <v>0.24030809399477809</v>
      </c>
      <c r="I293" s="67">
        <f t="shared" si="67"/>
        <v>0.27073713235294117</v>
      </c>
      <c r="J293" s="67">
        <f t="shared" si="67"/>
        <v>0.28142857142857147</v>
      </c>
      <c r="K293" s="67">
        <f t="shared" si="67"/>
        <v>0.18895833333333328</v>
      </c>
      <c r="L293" s="67">
        <f t="shared" si="67"/>
        <v>0.4545285714285715</v>
      </c>
      <c r="M293" s="67">
        <f t="shared" si="67"/>
        <v>0.13999999999999999</v>
      </c>
      <c r="N293" s="67">
        <f t="shared" si="67"/>
        <v>0.40408333333333335</v>
      </c>
      <c r="O293" s="67">
        <f t="shared" si="67"/>
        <v>0.15035666666666667</v>
      </c>
      <c r="P293" s="67">
        <f t="shared" si="67"/>
        <v>0.22022666666666665</v>
      </c>
      <c r="Q293" s="67">
        <f t="shared" si="67"/>
        <v>0.28500000000000003</v>
      </c>
      <c r="R293" s="67">
        <f t="shared" si="67"/>
        <v>0.45916666666666667</v>
      </c>
      <c r="S293" s="67">
        <f t="shared" si="67"/>
        <v>0.34064666666666665</v>
      </c>
      <c r="T293" s="67">
        <f t="shared" si="67"/>
        <v>0.27966666666666662</v>
      </c>
    </row>
    <row r="294" spans="1:20" s="6" customFormat="1" ht="11.25" customHeight="1">
      <c r="A294" s="176" t="s">
        <v>46</v>
      </c>
      <c r="B294" s="176"/>
      <c r="C294" s="176"/>
      <c r="D294" s="176"/>
      <c r="E294" s="176"/>
      <c r="F294" s="176"/>
      <c r="G294" s="176"/>
      <c r="H294" s="176"/>
      <c r="I294" s="176"/>
      <c r="J294" s="176"/>
      <c r="K294" s="176"/>
      <c r="L294" s="176"/>
      <c r="M294" s="176"/>
      <c r="N294" s="176"/>
      <c r="O294" s="176"/>
      <c r="P294" s="176"/>
      <c r="Q294" s="176"/>
      <c r="R294" s="176"/>
      <c r="S294" s="176"/>
      <c r="T294" s="176"/>
    </row>
    <row r="295" spans="1:20" s="6" customFormat="1" ht="22.35" customHeight="1">
      <c r="A295" s="17">
        <v>401</v>
      </c>
      <c r="B295" s="167" t="s">
        <v>113</v>
      </c>
      <c r="C295" s="167"/>
      <c r="D295" s="26">
        <v>150</v>
      </c>
      <c r="E295" s="23">
        <v>16.829999999999998</v>
      </c>
      <c r="F295" s="23">
        <v>10.9</v>
      </c>
      <c r="G295" s="61">
        <v>11.9</v>
      </c>
      <c r="H295" s="61">
        <v>57.3</v>
      </c>
      <c r="I295" s="61">
        <f>F295*4+G295*9+H295*4</f>
        <v>379.9</v>
      </c>
      <c r="J295" s="23">
        <v>0.15</v>
      </c>
      <c r="K295" s="23">
        <v>0.15</v>
      </c>
      <c r="L295" s="23">
        <v>0.15</v>
      </c>
      <c r="M295" s="23">
        <v>0.11</v>
      </c>
      <c r="N295" s="26">
        <v>1.6</v>
      </c>
      <c r="O295" s="23">
        <v>77.25</v>
      </c>
      <c r="P295" s="23">
        <v>135.44999999999999</v>
      </c>
      <c r="Q295" s="61">
        <v>1.3</v>
      </c>
      <c r="R295" s="23">
        <v>0.01</v>
      </c>
      <c r="S295" s="61">
        <v>23.6</v>
      </c>
      <c r="T295" s="23">
        <v>0.4</v>
      </c>
    </row>
    <row r="296" spans="1:20" s="6" customFormat="1" ht="11.25" customHeight="1">
      <c r="A296" s="17">
        <v>382</v>
      </c>
      <c r="B296" s="167" t="s">
        <v>114</v>
      </c>
      <c r="C296" s="167"/>
      <c r="D296" s="24">
        <v>200</v>
      </c>
      <c r="E296" s="23">
        <v>13.17</v>
      </c>
      <c r="F296" s="23">
        <f>3.5*D296/200</f>
        <v>3.5</v>
      </c>
      <c r="G296" s="23">
        <f>3.7*D296/200</f>
        <v>3.7</v>
      </c>
      <c r="H296" s="23">
        <f>25.5*D296/200</f>
        <v>25.5</v>
      </c>
      <c r="I296" s="23">
        <f>F296*4+G296*9+H296*4</f>
        <v>149.30000000000001</v>
      </c>
      <c r="J296" s="23">
        <f>0.06*D296/200</f>
        <v>0.06</v>
      </c>
      <c r="K296" s="23">
        <f>0.006*D296/200</f>
        <v>6.0000000000000001E-3</v>
      </c>
      <c r="L296" s="23">
        <f>1.6*D296/200</f>
        <v>1.6</v>
      </c>
      <c r="M296" s="25">
        <f>0.04*D296/200</f>
        <v>0.04</v>
      </c>
      <c r="N296" s="23">
        <f>0.4*D296/200</f>
        <v>0.4</v>
      </c>
      <c r="O296" s="23">
        <f>102.6*D296/200</f>
        <v>102.6</v>
      </c>
      <c r="P296" s="23">
        <f>178.4*D296/200</f>
        <v>178.4</v>
      </c>
      <c r="Q296" s="23">
        <f>1*D296/200</f>
        <v>1</v>
      </c>
      <c r="R296" s="25">
        <f>0.001*D296/200</f>
        <v>1E-3</v>
      </c>
      <c r="S296" s="23">
        <f>24.8*D296/200</f>
        <v>24.8</v>
      </c>
      <c r="T296" s="23">
        <f>0.48*D296/200</f>
        <v>0.48</v>
      </c>
    </row>
    <row r="298" spans="1:20" s="9" customFormat="1" ht="11.25" customHeight="1">
      <c r="A298" s="62" t="s">
        <v>49</v>
      </c>
      <c r="B298" s="63"/>
      <c r="C298" s="63"/>
      <c r="D298" s="39">
        <f>SUM(D295:D296)</f>
        <v>350</v>
      </c>
      <c r="E298" s="40">
        <f t="shared" ref="E298:T298" si="68">SUM(E295:E297)</f>
        <v>30</v>
      </c>
      <c r="F298" s="41">
        <f t="shared" si="68"/>
        <v>14.4</v>
      </c>
      <c r="G298" s="42">
        <f t="shared" si="68"/>
        <v>15.600000000000001</v>
      </c>
      <c r="H298" s="42">
        <f t="shared" si="68"/>
        <v>82.8</v>
      </c>
      <c r="I298" s="42">
        <f t="shared" si="68"/>
        <v>529.20000000000005</v>
      </c>
      <c r="J298" s="41">
        <f t="shared" si="68"/>
        <v>0.21</v>
      </c>
      <c r="K298" s="41">
        <f t="shared" si="68"/>
        <v>0.156</v>
      </c>
      <c r="L298" s="42">
        <f t="shared" si="68"/>
        <v>1.75</v>
      </c>
      <c r="M298" s="42">
        <f t="shared" si="68"/>
        <v>0.15</v>
      </c>
      <c r="N298" s="42">
        <f t="shared" si="68"/>
        <v>2</v>
      </c>
      <c r="O298" s="42">
        <f t="shared" si="68"/>
        <v>179.85</v>
      </c>
      <c r="P298" s="42">
        <f t="shared" si="68"/>
        <v>313.85000000000002</v>
      </c>
      <c r="Q298" s="42">
        <f t="shared" si="68"/>
        <v>2.2999999999999998</v>
      </c>
      <c r="R298" s="43">
        <f t="shared" si="68"/>
        <v>1.0999999999999999E-2</v>
      </c>
      <c r="S298" s="42">
        <f t="shared" si="68"/>
        <v>48.400000000000006</v>
      </c>
      <c r="T298" s="41">
        <f t="shared" si="68"/>
        <v>0.88</v>
      </c>
    </row>
    <row r="299" spans="1:20" s="9" customFormat="1" ht="11.25" customHeight="1">
      <c r="A299" s="181" t="s">
        <v>35</v>
      </c>
      <c r="B299" s="181"/>
      <c r="C299" s="181"/>
      <c r="D299" s="181"/>
      <c r="E299" s="44"/>
      <c r="F299" s="66">
        <f t="shared" ref="F299:T299" si="69">F298/F301</f>
        <v>0.16</v>
      </c>
      <c r="G299" s="67">
        <f t="shared" si="69"/>
        <v>0.16956521739130437</v>
      </c>
      <c r="H299" s="67">
        <f t="shared" si="69"/>
        <v>0.21618798955613577</v>
      </c>
      <c r="I299" s="67">
        <f t="shared" si="69"/>
        <v>0.19455882352941178</v>
      </c>
      <c r="J299" s="67">
        <f t="shared" si="69"/>
        <v>0.15</v>
      </c>
      <c r="K299" s="67">
        <f t="shared" si="69"/>
        <v>9.7499999999999989E-2</v>
      </c>
      <c r="L299" s="67">
        <f t="shared" si="69"/>
        <v>2.5000000000000001E-2</v>
      </c>
      <c r="M299" s="67">
        <f t="shared" si="69"/>
        <v>0.16666666666666666</v>
      </c>
      <c r="N299" s="67">
        <f t="shared" si="69"/>
        <v>0.16666666666666666</v>
      </c>
      <c r="O299" s="67">
        <f t="shared" si="69"/>
        <v>0.14987500000000001</v>
      </c>
      <c r="P299" s="67">
        <f t="shared" si="69"/>
        <v>0.26154166666666667</v>
      </c>
      <c r="Q299" s="67">
        <f t="shared" si="69"/>
        <v>0.16428571428571428</v>
      </c>
      <c r="R299" s="67">
        <f t="shared" si="69"/>
        <v>0.10999999999999999</v>
      </c>
      <c r="S299" s="67">
        <f t="shared" si="69"/>
        <v>0.16133333333333336</v>
      </c>
      <c r="T299" s="67">
        <f t="shared" si="69"/>
        <v>4.8888888888888891E-2</v>
      </c>
    </row>
    <row r="300" spans="1:20" s="9" customFormat="1" ht="11.25" customHeight="1">
      <c r="A300" s="171" t="s">
        <v>50</v>
      </c>
      <c r="B300" s="171"/>
      <c r="C300" s="171"/>
      <c r="D300" s="171"/>
      <c r="E300" s="44"/>
      <c r="F300" s="41">
        <f t="shared" ref="F300:T300" si="70">SUM(F282,F292,F298)</f>
        <v>66.37</v>
      </c>
      <c r="G300" s="42">
        <f t="shared" si="70"/>
        <v>60.916333333333334</v>
      </c>
      <c r="H300" s="42">
        <f t="shared" si="70"/>
        <v>240.00133333333332</v>
      </c>
      <c r="I300" s="42">
        <f t="shared" si="70"/>
        <v>1773.7983333333334</v>
      </c>
      <c r="J300" s="41">
        <f t="shared" si="70"/>
        <v>0.69966666666666666</v>
      </c>
      <c r="K300" s="41">
        <f t="shared" si="70"/>
        <v>1.1516666666666666</v>
      </c>
      <c r="L300" s="42">
        <f t="shared" si="70"/>
        <v>41.06366666666667</v>
      </c>
      <c r="M300" s="41">
        <f t="shared" si="70"/>
        <v>48.278999999999996</v>
      </c>
      <c r="N300" s="41">
        <f t="shared" si="70"/>
        <v>7.8723333333333336</v>
      </c>
      <c r="O300" s="42">
        <f t="shared" si="70"/>
        <v>425.66133333333335</v>
      </c>
      <c r="P300" s="42">
        <f t="shared" si="70"/>
        <v>817.13533333333339</v>
      </c>
      <c r="Q300" s="41">
        <f t="shared" si="70"/>
        <v>6.3816666666666668</v>
      </c>
      <c r="R300" s="43">
        <f t="shared" si="70"/>
        <v>5.9249999999999997E-2</v>
      </c>
      <c r="S300" s="41">
        <f t="shared" si="70"/>
        <v>207.53400000000002</v>
      </c>
      <c r="T300" s="41">
        <f t="shared" si="70"/>
        <v>9.4473333333333329</v>
      </c>
    </row>
    <row r="301" spans="1:20" s="9" customFormat="1" ht="11.25" customHeight="1">
      <c r="A301" s="171" t="s">
        <v>51</v>
      </c>
      <c r="B301" s="171"/>
      <c r="C301" s="171"/>
      <c r="D301" s="171"/>
      <c r="E301" s="44"/>
      <c r="F301" s="23">
        <v>90</v>
      </c>
      <c r="G301" s="61">
        <v>92</v>
      </c>
      <c r="H301" s="61">
        <v>383</v>
      </c>
      <c r="I301" s="61">
        <v>2720</v>
      </c>
      <c r="J301" s="23">
        <v>1.4</v>
      </c>
      <c r="K301" s="23">
        <v>1.6</v>
      </c>
      <c r="L301" s="24">
        <v>70</v>
      </c>
      <c r="M301" s="23">
        <v>0.9</v>
      </c>
      <c r="N301" s="24">
        <v>12</v>
      </c>
      <c r="O301" s="24">
        <v>1200</v>
      </c>
      <c r="P301" s="24">
        <v>1200</v>
      </c>
      <c r="Q301" s="24">
        <v>14</v>
      </c>
      <c r="R301" s="61">
        <v>0.1</v>
      </c>
      <c r="S301" s="24">
        <v>300</v>
      </c>
      <c r="T301" s="23">
        <v>18</v>
      </c>
    </row>
    <row r="302" spans="1:20" s="9" customFormat="1" ht="11.25" customHeight="1">
      <c r="A302" s="181" t="s">
        <v>35</v>
      </c>
      <c r="B302" s="181"/>
      <c r="C302" s="181"/>
      <c r="D302" s="181"/>
      <c r="E302" s="44"/>
      <c r="F302" s="66">
        <f t="shared" ref="F302:T302" si="71">F300/F301</f>
        <v>0.73744444444444446</v>
      </c>
      <c r="G302" s="67">
        <f t="shared" si="71"/>
        <v>0.66213405797101454</v>
      </c>
      <c r="H302" s="67">
        <f t="shared" si="71"/>
        <v>0.62663533507397728</v>
      </c>
      <c r="I302" s="67">
        <f t="shared" si="71"/>
        <v>0.65213174019607845</v>
      </c>
      <c r="J302" s="67">
        <f t="shared" si="71"/>
        <v>0.4997619047619048</v>
      </c>
      <c r="K302" s="67">
        <f t="shared" si="71"/>
        <v>0.71979166666666661</v>
      </c>
      <c r="L302" s="68">
        <f t="shared" si="71"/>
        <v>0.58662380952380955</v>
      </c>
      <c r="M302" s="68">
        <f t="shared" si="71"/>
        <v>53.643333333333331</v>
      </c>
      <c r="N302" s="68">
        <f t="shared" si="71"/>
        <v>0.65602777777777777</v>
      </c>
      <c r="O302" s="67">
        <f t="shared" si="71"/>
        <v>0.3547177777777778</v>
      </c>
      <c r="P302" s="67">
        <f t="shared" si="71"/>
        <v>0.68094611111111114</v>
      </c>
      <c r="Q302" s="67">
        <f t="shared" si="71"/>
        <v>0.45583333333333337</v>
      </c>
      <c r="R302" s="68">
        <f t="shared" si="71"/>
        <v>0.59249999999999992</v>
      </c>
      <c r="S302" s="67">
        <f t="shared" si="71"/>
        <v>0.69178000000000006</v>
      </c>
      <c r="T302" s="68">
        <f t="shared" si="71"/>
        <v>0.52485185185185179</v>
      </c>
    </row>
    <row r="303" spans="1:20" s="9" customFormat="1" ht="11.25" customHeight="1">
      <c r="A303" s="4"/>
      <c r="B303" s="5"/>
      <c r="C303" s="5"/>
      <c r="D303" s="6"/>
      <c r="E303" s="7"/>
      <c r="F303" s="7"/>
      <c r="G303" s="6"/>
      <c r="H303" s="6"/>
      <c r="I303" s="6"/>
      <c r="J303" s="6"/>
      <c r="K303" s="6"/>
      <c r="L303" s="6"/>
      <c r="M303" s="160" t="s">
        <v>0</v>
      </c>
      <c r="N303" s="160"/>
      <c r="O303" s="160"/>
      <c r="P303" s="160"/>
      <c r="Q303" s="160"/>
      <c r="R303" s="160"/>
      <c r="S303" s="160"/>
      <c r="T303" s="160"/>
    </row>
    <row r="304" spans="1:20" s="9" customFormat="1" ht="11.25" customHeight="1">
      <c r="A304" s="180" t="s">
        <v>115</v>
      </c>
      <c r="B304" s="180"/>
      <c r="C304" s="180"/>
      <c r="D304" s="180"/>
      <c r="E304" s="180"/>
      <c r="F304" s="180"/>
      <c r="G304" s="180"/>
      <c r="H304" s="180"/>
      <c r="I304" s="180"/>
      <c r="J304" s="180"/>
      <c r="K304" s="180"/>
      <c r="L304" s="180"/>
      <c r="M304" s="180"/>
      <c r="N304" s="180"/>
      <c r="O304" s="180"/>
      <c r="P304" s="180"/>
      <c r="Q304" s="180"/>
      <c r="R304" s="180"/>
      <c r="S304" s="180"/>
      <c r="T304" s="180"/>
    </row>
    <row r="305" spans="1:25" s="9" customFormat="1" ht="11.25" customHeight="1">
      <c r="A305" s="10" t="s">
        <v>2</v>
      </c>
      <c r="B305" s="5"/>
      <c r="C305" s="5"/>
      <c r="D305" s="8"/>
      <c r="E305" s="11"/>
      <c r="F305" s="7"/>
      <c r="G305" s="162" t="s">
        <v>85</v>
      </c>
      <c r="H305" s="162"/>
      <c r="I305" s="162"/>
      <c r="J305" s="6"/>
      <c r="K305" s="6"/>
      <c r="L305" s="163"/>
      <c r="M305" s="163"/>
      <c r="N305" s="164"/>
      <c r="O305" s="164"/>
      <c r="P305" s="164"/>
      <c r="Q305" s="164"/>
      <c r="R305" s="6"/>
      <c r="S305" s="6"/>
      <c r="T305" s="6"/>
    </row>
    <row r="306" spans="1:25" s="9" customFormat="1" ht="11.25" customHeight="1">
      <c r="A306" s="5"/>
      <c r="B306" s="5"/>
      <c r="C306" s="5"/>
      <c r="D306" s="163" t="s">
        <v>4</v>
      </c>
      <c r="E306" s="163"/>
      <c r="F306" s="163"/>
      <c r="G306" s="12">
        <v>2</v>
      </c>
      <c r="H306" s="6"/>
      <c r="I306" s="8"/>
      <c r="J306" s="8"/>
      <c r="K306" s="8"/>
      <c r="L306" s="163"/>
      <c r="M306" s="163"/>
      <c r="N306" s="162"/>
      <c r="O306" s="162"/>
      <c r="P306" s="162"/>
      <c r="Q306" s="162"/>
      <c r="R306" s="162"/>
      <c r="S306" s="162"/>
      <c r="T306" s="162"/>
    </row>
    <row r="307" spans="1:25" s="9" customFormat="1" ht="21.75" customHeight="1">
      <c r="A307" s="165" t="s">
        <v>54</v>
      </c>
      <c r="B307" s="165" t="s">
        <v>55</v>
      </c>
      <c r="C307" s="165"/>
      <c r="D307" s="165" t="s">
        <v>7</v>
      </c>
      <c r="E307" s="86"/>
      <c r="F307" s="165" t="s">
        <v>8</v>
      </c>
      <c r="G307" s="165"/>
      <c r="H307" s="165"/>
      <c r="I307" s="165" t="s">
        <v>9</v>
      </c>
      <c r="J307" s="165" t="s">
        <v>10</v>
      </c>
      <c r="K307" s="165"/>
      <c r="L307" s="165"/>
      <c r="M307" s="165"/>
      <c r="N307" s="165"/>
      <c r="O307" s="165" t="s">
        <v>11</v>
      </c>
      <c r="P307" s="165"/>
      <c r="Q307" s="165"/>
      <c r="R307" s="165"/>
      <c r="S307" s="165"/>
      <c r="T307" s="165"/>
    </row>
    <row r="308" spans="1:25" s="9" customFormat="1" ht="21" customHeight="1">
      <c r="A308" s="165"/>
      <c r="B308" s="165"/>
      <c r="C308" s="165"/>
      <c r="D308" s="165"/>
      <c r="E308" s="15"/>
      <c r="F308" s="16" t="s">
        <v>12</v>
      </c>
      <c r="G308" s="13" t="s">
        <v>13</v>
      </c>
      <c r="H308" s="13" t="s">
        <v>14</v>
      </c>
      <c r="I308" s="165"/>
      <c r="J308" s="13" t="s">
        <v>15</v>
      </c>
      <c r="K308" s="13" t="s">
        <v>16</v>
      </c>
      <c r="L308" s="13" t="s">
        <v>17</v>
      </c>
      <c r="M308" s="13" t="s">
        <v>18</v>
      </c>
      <c r="N308" s="13" t="s">
        <v>19</v>
      </c>
      <c r="O308" s="13" t="s">
        <v>20</v>
      </c>
      <c r="P308" s="13" t="s">
        <v>21</v>
      </c>
      <c r="Q308" s="13" t="s">
        <v>22</v>
      </c>
      <c r="R308" s="13" t="s">
        <v>23</v>
      </c>
      <c r="S308" s="13" t="s">
        <v>24</v>
      </c>
      <c r="T308" s="13" t="s">
        <v>25</v>
      </c>
    </row>
    <row r="309" spans="1:25" s="9" customFormat="1" ht="11.25" customHeight="1">
      <c r="A309" s="17">
        <v>1</v>
      </c>
      <c r="B309" s="175">
        <v>2</v>
      </c>
      <c r="C309" s="175"/>
      <c r="D309" s="18">
        <v>3</v>
      </c>
      <c r="E309" s="19"/>
      <c r="F309" s="18">
        <v>4</v>
      </c>
      <c r="G309" s="18">
        <v>5</v>
      </c>
      <c r="H309" s="18">
        <v>6</v>
      </c>
      <c r="I309" s="18">
        <v>7</v>
      </c>
      <c r="J309" s="18">
        <v>8</v>
      </c>
      <c r="K309" s="18">
        <v>9</v>
      </c>
      <c r="L309" s="18">
        <v>10</v>
      </c>
      <c r="M309" s="18">
        <v>11</v>
      </c>
      <c r="N309" s="18">
        <v>12</v>
      </c>
      <c r="O309" s="18">
        <v>13</v>
      </c>
      <c r="P309" s="18">
        <v>14</v>
      </c>
      <c r="Q309" s="18">
        <v>15</v>
      </c>
      <c r="R309" s="18">
        <v>16</v>
      </c>
      <c r="S309" s="18">
        <v>17</v>
      </c>
      <c r="T309" s="18">
        <v>18</v>
      </c>
    </row>
    <row r="310" spans="1:25" s="9" customFormat="1" ht="11.25" customHeight="1">
      <c r="A310" s="176" t="s">
        <v>26</v>
      </c>
      <c r="B310" s="176"/>
      <c r="C310" s="176"/>
      <c r="D310" s="176"/>
      <c r="E310" s="176"/>
      <c r="F310" s="176"/>
      <c r="G310" s="176"/>
      <c r="H310" s="176"/>
      <c r="I310" s="176"/>
      <c r="J310" s="176"/>
      <c r="K310" s="176"/>
      <c r="L310" s="176"/>
      <c r="M310" s="176"/>
      <c r="N310" s="176"/>
      <c r="O310" s="176"/>
      <c r="P310" s="176"/>
      <c r="Q310" s="176"/>
      <c r="R310" s="176"/>
      <c r="S310" s="176"/>
      <c r="T310" s="176"/>
    </row>
    <row r="311" spans="1:25" s="9" customFormat="1" ht="11.25" customHeight="1">
      <c r="A311" s="20">
        <v>15</v>
      </c>
      <c r="B311" s="170" t="s">
        <v>27</v>
      </c>
      <c r="C311" s="170"/>
      <c r="D311" s="21" t="s">
        <v>28</v>
      </c>
      <c r="E311" s="22">
        <v>11.25</v>
      </c>
      <c r="F311" s="144">
        <v>0.46</v>
      </c>
      <c r="G311" s="144">
        <v>0.68</v>
      </c>
      <c r="H311" s="144">
        <v>0</v>
      </c>
      <c r="I311" s="144">
        <v>7.98</v>
      </c>
      <c r="J311" s="144">
        <v>0</v>
      </c>
      <c r="K311" s="144">
        <v>0.01</v>
      </c>
      <c r="L311" s="143">
        <v>0.01</v>
      </c>
      <c r="M311" s="143">
        <v>5.0000000000000001E-3</v>
      </c>
      <c r="N311" s="144">
        <v>0.01</v>
      </c>
      <c r="O311" s="144">
        <v>17.600000000000001</v>
      </c>
      <c r="P311" s="144">
        <v>10</v>
      </c>
      <c r="Q311" s="143">
        <v>0.08</v>
      </c>
      <c r="R311" s="143">
        <v>4.0000000000000001E-3</v>
      </c>
      <c r="S311" s="144">
        <v>0.7</v>
      </c>
      <c r="T311" s="144">
        <v>0.03</v>
      </c>
    </row>
    <row r="312" spans="1:25" s="6" customFormat="1" ht="15" customHeight="1">
      <c r="A312" s="155">
        <v>173</v>
      </c>
      <c r="B312" s="167" t="s">
        <v>29</v>
      </c>
      <c r="C312" s="167"/>
      <c r="D312" s="143">
        <v>200</v>
      </c>
      <c r="E312" s="144">
        <v>21.54</v>
      </c>
      <c r="F312" s="144">
        <f>7.23*D312/200</f>
        <v>7.23</v>
      </c>
      <c r="G312" s="144">
        <f>9.81*D312/200</f>
        <v>9.81</v>
      </c>
      <c r="H312" s="144">
        <f>28.8*D312/200</f>
        <v>28.8</v>
      </c>
      <c r="I312" s="144">
        <f>F312*4+G312*9+H312*4</f>
        <v>232.41000000000003</v>
      </c>
      <c r="J312" s="144">
        <f>0.22*D312/200</f>
        <v>0.22</v>
      </c>
      <c r="K312" s="144">
        <f>0.2*D312/200</f>
        <v>0.2</v>
      </c>
      <c r="L312" s="144">
        <f>1.3*D312/200</f>
        <v>1.3</v>
      </c>
      <c r="M312" s="25">
        <f>0.08*D312/200</f>
        <v>0.08</v>
      </c>
      <c r="N312" s="26">
        <v>0</v>
      </c>
      <c r="O312" s="144">
        <f>142.58*D312/200</f>
        <v>142.58000000000001</v>
      </c>
      <c r="P312" s="144">
        <f>222.38*D312/200</f>
        <v>222.38</v>
      </c>
      <c r="Q312" s="143">
        <v>0</v>
      </c>
      <c r="R312" s="25">
        <f>0.001*D312/200</f>
        <v>1E-3</v>
      </c>
      <c r="S312" s="144">
        <f>65.69*D312/200</f>
        <v>65.69</v>
      </c>
      <c r="T312" s="144">
        <f>1.53*D312/200</f>
        <v>1.53</v>
      </c>
    </row>
    <row r="313" spans="1:25" s="6" customFormat="1" ht="12.75" customHeight="1">
      <c r="A313" s="135">
        <v>377</v>
      </c>
      <c r="B313" s="172" t="s">
        <v>48</v>
      </c>
      <c r="C313" s="172"/>
      <c r="D313" s="137">
        <v>200</v>
      </c>
      <c r="E313" s="145">
        <v>3.3</v>
      </c>
      <c r="F313" s="145">
        <v>0.26</v>
      </c>
      <c r="G313" s="145">
        <v>0.06</v>
      </c>
      <c r="H313" s="145">
        <v>15.22</v>
      </c>
      <c r="I313" s="145">
        <v>62.46</v>
      </c>
      <c r="J313" s="145">
        <v>0</v>
      </c>
      <c r="K313" s="145">
        <v>0.01</v>
      </c>
      <c r="L313" s="145">
        <v>2.9</v>
      </c>
      <c r="M313" s="133">
        <v>0</v>
      </c>
      <c r="N313" s="145">
        <v>0.06</v>
      </c>
      <c r="O313" s="145">
        <v>8.0500000000000007</v>
      </c>
      <c r="P313" s="145">
        <v>9.7799999999999994</v>
      </c>
      <c r="Q313" s="145">
        <v>1.7000000000000001E-2</v>
      </c>
      <c r="R313" s="146">
        <v>0</v>
      </c>
      <c r="S313" s="145">
        <v>5.24</v>
      </c>
      <c r="T313" s="145">
        <v>0.87</v>
      </c>
    </row>
    <row r="314" spans="1:25" s="6" customFormat="1" ht="11.25" customHeight="1">
      <c r="A314" s="59" t="s">
        <v>30</v>
      </c>
      <c r="B314" s="167" t="s">
        <v>44</v>
      </c>
      <c r="C314" s="167"/>
      <c r="D314" s="143">
        <v>130</v>
      </c>
      <c r="E314" s="144">
        <v>31.2</v>
      </c>
      <c r="F314" s="29">
        <v>0.9</v>
      </c>
      <c r="G314" s="30">
        <v>0.2</v>
      </c>
      <c r="H314" s="31">
        <v>8.1</v>
      </c>
      <c r="I314" s="29">
        <v>136.6</v>
      </c>
      <c r="J314" s="29">
        <v>0.04</v>
      </c>
      <c r="K314" s="29">
        <v>0.03</v>
      </c>
      <c r="L314" s="29">
        <v>60</v>
      </c>
      <c r="M314" s="29">
        <v>0</v>
      </c>
      <c r="N314" s="30">
        <v>0.2</v>
      </c>
      <c r="O314" s="29">
        <v>34</v>
      </c>
      <c r="P314" s="29">
        <v>23</v>
      </c>
      <c r="Q314" s="57">
        <v>0.2</v>
      </c>
      <c r="R314" s="29">
        <v>0</v>
      </c>
      <c r="S314" s="29">
        <v>15</v>
      </c>
      <c r="T314" s="29">
        <v>0.3</v>
      </c>
    </row>
    <row r="315" spans="1:25" s="6" customFormat="1" ht="11.25" customHeight="1">
      <c r="A315" s="27" t="s">
        <v>30</v>
      </c>
      <c r="B315" s="173" t="s">
        <v>31</v>
      </c>
      <c r="C315" s="173"/>
      <c r="D315" s="28" t="s">
        <v>32</v>
      </c>
      <c r="E315" s="144"/>
      <c r="F315" s="33">
        <v>5.6</v>
      </c>
      <c r="G315" s="34">
        <v>6.4</v>
      </c>
      <c r="H315" s="35">
        <v>9.4</v>
      </c>
      <c r="I315" s="33">
        <v>117.6</v>
      </c>
      <c r="J315" s="33">
        <v>0.08</v>
      </c>
      <c r="K315" s="33">
        <v>0.307</v>
      </c>
      <c r="L315" s="33">
        <v>2.6</v>
      </c>
      <c r="M315" s="33">
        <v>6.7000000000000004E-2</v>
      </c>
      <c r="N315" s="34">
        <v>0.29199999999999998</v>
      </c>
      <c r="O315" s="33">
        <v>240</v>
      </c>
      <c r="P315" s="33">
        <v>180</v>
      </c>
      <c r="Q315" s="36">
        <v>0.8</v>
      </c>
      <c r="R315" s="33">
        <v>1.7999999999999999E-2</v>
      </c>
      <c r="S315" s="33">
        <v>28</v>
      </c>
      <c r="T315" s="33">
        <v>0.12</v>
      </c>
    </row>
    <row r="316" spans="1:25" s="6" customFormat="1" ht="11.25" customHeight="1">
      <c r="A316" s="62" t="s">
        <v>34</v>
      </c>
      <c r="B316" s="63"/>
      <c r="C316" s="63"/>
      <c r="D316" s="39">
        <v>585</v>
      </c>
      <c r="E316" s="40">
        <f>SUM(E311:E315)</f>
        <v>67.289999999999992</v>
      </c>
      <c r="F316" s="41">
        <f t="shared" ref="F316:T316" si="72">SUM(F311:F314)</f>
        <v>8.85</v>
      </c>
      <c r="G316" s="83">
        <f t="shared" si="72"/>
        <v>10.75</v>
      </c>
      <c r="H316" s="83">
        <f t="shared" si="72"/>
        <v>52.120000000000005</v>
      </c>
      <c r="I316" s="42">
        <f t="shared" si="72"/>
        <v>439.45000000000005</v>
      </c>
      <c r="J316" s="41">
        <f t="shared" si="72"/>
        <v>0.26</v>
      </c>
      <c r="K316" s="41">
        <f t="shared" si="72"/>
        <v>0.25</v>
      </c>
      <c r="L316" s="41">
        <f t="shared" si="72"/>
        <v>64.209999999999994</v>
      </c>
      <c r="M316" s="41">
        <f t="shared" si="72"/>
        <v>8.5000000000000006E-2</v>
      </c>
      <c r="N316" s="42">
        <f t="shared" si="72"/>
        <v>0.27</v>
      </c>
      <c r="O316" s="42">
        <f t="shared" si="72"/>
        <v>202.23000000000002</v>
      </c>
      <c r="P316" s="42">
        <f t="shared" si="72"/>
        <v>265.15999999999997</v>
      </c>
      <c r="Q316" s="42">
        <f t="shared" si="72"/>
        <v>0.29700000000000004</v>
      </c>
      <c r="R316" s="41">
        <f t="shared" si="72"/>
        <v>5.0000000000000001E-3</v>
      </c>
      <c r="S316" s="42">
        <f t="shared" si="72"/>
        <v>86.63</v>
      </c>
      <c r="T316" s="41">
        <f t="shared" si="72"/>
        <v>2.73</v>
      </c>
      <c r="Y316" s="153"/>
    </row>
    <row r="317" spans="1:25" s="6" customFormat="1" ht="11.25" customHeight="1">
      <c r="A317" s="199" t="s">
        <v>35</v>
      </c>
      <c r="B317" s="200"/>
      <c r="C317" s="200"/>
      <c r="D317" s="201"/>
      <c r="E317" s="80"/>
      <c r="F317" s="92">
        <f t="shared" ref="F317:T317" si="73">F316/F334</f>
        <v>9.8333333333333328E-2</v>
      </c>
      <c r="G317" s="67">
        <f t="shared" si="73"/>
        <v>0.11684782608695653</v>
      </c>
      <c r="H317" s="67">
        <f t="shared" si="73"/>
        <v>0.13608355091383814</v>
      </c>
      <c r="I317" s="67">
        <f t="shared" si="73"/>
        <v>0.16156250000000003</v>
      </c>
      <c r="J317" s="67">
        <f t="shared" si="73"/>
        <v>0.18571428571428572</v>
      </c>
      <c r="K317" s="67">
        <f t="shared" si="73"/>
        <v>0.15625</v>
      </c>
      <c r="L317" s="67">
        <f t="shared" si="73"/>
        <v>0.91728571428571415</v>
      </c>
      <c r="M317" s="67">
        <f t="shared" si="73"/>
        <v>9.4444444444444442E-2</v>
      </c>
      <c r="N317" s="67">
        <f t="shared" si="73"/>
        <v>2.2500000000000003E-2</v>
      </c>
      <c r="O317" s="67">
        <f t="shared" si="73"/>
        <v>0.16852500000000001</v>
      </c>
      <c r="P317" s="67">
        <f t="shared" si="73"/>
        <v>0.22096666666666664</v>
      </c>
      <c r="Q317" s="67">
        <f t="shared" si="73"/>
        <v>2.1214285714285717E-2</v>
      </c>
      <c r="R317" s="67">
        <f t="shared" si="73"/>
        <v>4.9999999999999996E-2</v>
      </c>
      <c r="S317" s="67">
        <f t="shared" si="73"/>
        <v>0.28876666666666667</v>
      </c>
      <c r="T317" s="67">
        <f t="shared" si="73"/>
        <v>0.15166666666666667</v>
      </c>
    </row>
    <row r="318" spans="1:25" s="6" customFormat="1" ht="11.25" customHeight="1">
      <c r="A318" s="202" t="s">
        <v>36</v>
      </c>
      <c r="B318" s="203"/>
      <c r="C318" s="203"/>
      <c r="D318" s="203"/>
      <c r="E318" s="203"/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03"/>
      <c r="R318" s="203"/>
      <c r="S318" s="203"/>
      <c r="T318" s="204"/>
    </row>
    <row r="319" spans="1:25" s="6" customFormat="1" ht="22.5" customHeight="1">
      <c r="A319" s="17">
        <v>24</v>
      </c>
      <c r="B319" s="183" t="s">
        <v>73</v>
      </c>
      <c r="C319" s="205"/>
      <c r="D319" s="24">
        <v>60</v>
      </c>
      <c r="E319" s="23">
        <v>6.9</v>
      </c>
      <c r="F319" s="29">
        <v>0.59</v>
      </c>
      <c r="G319" s="29">
        <v>3.69</v>
      </c>
      <c r="H319" s="29">
        <v>2.2400000000000002</v>
      </c>
      <c r="I319" s="29">
        <v>44.52</v>
      </c>
      <c r="J319" s="29">
        <v>0.03</v>
      </c>
      <c r="K319" s="29">
        <v>3.3333333333333333E-2</v>
      </c>
      <c r="L319" s="29">
        <v>10.06</v>
      </c>
      <c r="M319" s="57">
        <v>0</v>
      </c>
      <c r="N319" s="29">
        <v>1.25</v>
      </c>
      <c r="O319" s="29">
        <v>11.21</v>
      </c>
      <c r="P319" s="29">
        <v>20.77</v>
      </c>
      <c r="Q319" s="29">
        <v>0.25</v>
      </c>
      <c r="R319" s="57">
        <v>1.6666666666666668E-3</v>
      </c>
      <c r="S319" s="29">
        <v>9.76</v>
      </c>
      <c r="T319" s="29">
        <v>0.44</v>
      </c>
    </row>
    <row r="320" spans="1:25" s="6" customFormat="1" ht="22.5" customHeight="1">
      <c r="A320" s="17">
        <v>113</v>
      </c>
      <c r="B320" s="186" t="s">
        <v>116</v>
      </c>
      <c r="C320" s="187"/>
      <c r="D320" s="24">
        <v>250</v>
      </c>
      <c r="E320" s="23">
        <v>9.9499999999999993</v>
      </c>
      <c r="F320" s="29">
        <v>8.7100000000000009</v>
      </c>
      <c r="G320" s="29">
        <v>8.77</v>
      </c>
      <c r="H320" s="29">
        <v>23.67</v>
      </c>
      <c r="I320" s="29">
        <v>208.45</v>
      </c>
      <c r="J320" s="57">
        <v>0.23</v>
      </c>
      <c r="K320" s="57">
        <v>0.21</v>
      </c>
      <c r="L320" s="29">
        <v>5.3019999999999996</v>
      </c>
      <c r="M320" s="29">
        <v>1.04</v>
      </c>
      <c r="N320" s="30">
        <v>0.379</v>
      </c>
      <c r="O320" s="31">
        <v>43.8</v>
      </c>
      <c r="P320" s="31">
        <v>95.75</v>
      </c>
      <c r="Q320" s="58">
        <v>0.13</v>
      </c>
      <c r="R320" s="58">
        <v>1E-3</v>
      </c>
      <c r="S320" s="31">
        <v>18.3</v>
      </c>
      <c r="T320" s="29">
        <v>1.25</v>
      </c>
    </row>
    <row r="321" spans="1:20" s="6" customFormat="1" ht="12" customHeight="1">
      <c r="A321" s="17">
        <v>295</v>
      </c>
      <c r="B321" s="186" t="s">
        <v>87</v>
      </c>
      <c r="C321" s="187"/>
      <c r="D321" s="26">
        <v>80</v>
      </c>
      <c r="E321" s="23">
        <v>30.85</v>
      </c>
      <c r="F321" s="98">
        <v>12.192</v>
      </c>
      <c r="G321" s="111">
        <v>4.6399999999999997</v>
      </c>
      <c r="H321" s="111">
        <v>8.1280000000000001</v>
      </c>
      <c r="I321" s="98">
        <v>250</v>
      </c>
      <c r="J321" s="99">
        <v>7.1999999999999995E-2</v>
      </c>
      <c r="K321" s="98">
        <v>6.4000000000000001E-2</v>
      </c>
      <c r="L321" s="98">
        <v>0.192</v>
      </c>
      <c r="M321" s="99">
        <v>8.0000000000000004E-4</v>
      </c>
      <c r="N321" s="99">
        <v>5.9200000000000003E-2</v>
      </c>
      <c r="O321" s="111">
        <v>11.223999999999998</v>
      </c>
      <c r="P321" s="111">
        <v>75.184000000000012</v>
      </c>
      <c r="Q321" s="98">
        <v>0.93599999999999994</v>
      </c>
      <c r="R321" s="112">
        <v>3.2000000000000001E-2</v>
      </c>
      <c r="S321" s="111">
        <v>12.991999999999997</v>
      </c>
      <c r="T321" s="98">
        <v>1.5119999999999998</v>
      </c>
    </row>
    <row r="322" spans="1:20" s="6" customFormat="1" ht="12.75" customHeight="1">
      <c r="A322" s="32">
        <v>171</v>
      </c>
      <c r="B322" s="167" t="s">
        <v>102</v>
      </c>
      <c r="C322" s="167"/>
      <c r="D322" s="24">
        <v>180</v>
      </c>
      <c r="E322" s="23">
        <v>14.94</v>
      </c>
      <c r="F322" s="29">
        <v>7.8840000000000003</v>
      </c>
      <c r="G322" s="29">
        <v>5.0279999999999996</v>
      </c>
      <c r="H322" s="29">
        <v>38.783999999999999</v>
      </c>
      <c r="I322" s="29">
        <v>231.92400000000001</v>
      </c>
      <c r="J322" s="57">
        <v>7.1999999999999995E-2</v>
      </c>
      <c r="K322" s="57">
        <v>3.5999999999999997E-2</v>
      </c>
      <c r="L322" s="30">
        <v>0</v>
      </c>
      <c r="M322" s="57">
        <v>3.5999999999999997E-2</v>
      </c>
      <c r="N322" s="30">
        <v>3.06</v>
      </c>
      <c r="O322" s="29">
        <v>21.744</v>
      </c>
      <c r="P322" s="29">
        <v>188.43600000000001</v>
      </c>
      <c r="Q322" s="57">
        <v>1.0680000000000001</v>
      </c>
      <c r="R322" s="57">
        <v>2E-3</v>
      </c>
      <c r="S322" s="29">
        <v>125.34</v>
      </c>
      <c r="T322" s="29">
        <v>4.26</v>
      </c>
    </row>
    <row r="323" spans="1:20" s="6" customFormat="1" ht="26.45" customHeight="1">
      <c r="A323" s="17">
        <v>345</v>
      </c>
      <c r="B323" s="167" t="s">
        <v>64</v>
      </c>
      <c r="C323" s="167"/>
      <c r="D323" s="24">
        <v>200</v>
      </c>
      <c r="E323" s="23">
        <v>5.0999999999999996</v>
      </c>
      <c r="F323" s="29">
        <v>0.06</v>
      </c>
      <c r="G323" s="29">
        <v>0.02</v>
      </c>
      <c r="H323" s="29">
        <v>20.73</v>
      </c>
      <c r="I323" s="29">
        <v>83.34</v>
      </c>
      <c r="J323" s="30">
        <v>0</v>
      </c>
      <c r="K323" s="30">
        <v>0</v>
      </c>
      <c r="L323" s="31">
        <v>2.5</v>
      </c>
      <c r="M323" s="30">
        <v>4.0000000000000001E-3</v>
      </c>
      <c r="N323" s="30">
        <v>0.2</v>
      </c>
      <c r="O323" s="31">
        <v>4</v>
      </c>
      <c r="P323" s="31">
        <v>3.3</v>
      </c>
      <c r="Q323" s="31">
        <v>0.08</v>
      </c>
      <c r="R323" s="31">
        <v>1E-3</v>
      </c>
      <c r="S323" s="31">
        <v>1.7</v>
      </c>
      <c r="T323" s="29">
        <v>0.15</v>
      </c>
    </row>
    <row r="324" spans="1:20" s="6" customFormat="1" ht="11.25" customHeight="1">
      <c r="A324" s="59" t="s">
        <v>30</v>
      </c>
      <c r="B324" s="167" t="s">
        <v>43</v>
      </c>
      <c r="C324" s="167"/>
      <c r="D324" s="24">
        <v>50</v>
      </c>
      <c r="E324" s="23">
        <v>2.35</v>
      </c>
      <c r="F324" s="23">
        <f>2.64*D324/40</f>
        <v>3.3</v>
      </c>
      <c r="G324" s="23">
        <f>0.48*D324/40</f>
        <v>0.6</v>
      </c>
      <c r="H324" s="23">
        <f>13.68*D324/40</f>
        <v>17.100000000000001</v>
      </c>
      <c r="I324" s="61">
        <f>F324*4+G324*9+H324*4</f>
        <v>87</v>
      </c>
      <c r="J324" s="26">
        <f>0.08*D324/40</f>
        <v>0.1</v>
      </c>
      <c r="K324" s="23">
        <f>0.04*D324/40</f>
        <v>0.05</v>
      </c>
      <c r="L324" s="24">
        <v>0</v>
      </c>
      <c r="M324" s="24">
        <v>0</v>
      </c>
      <c r="N324" s="23">
        <f>2.4*D324/40</f>
        <v>3</v>
      </c>
      <c r="O324" s="23">
        <f>14*D324/40</f>
        <v>17.5</v>
      </c>
      <c r="P324" s="23">
        <f>63.2*D324/40</f>
        <v>79</v>
      </c>
      <c r="Q324" s="23">
        <f>1.2*D324/40</f>
        <v>1.5</v>
      </c>
      <c r="R324" s="25">
        <f>0.001*D324/40</f>
        <v>1.25E-3</v>
      </c>
      <c r="S324" s="23">
        <f>9.4*D324/40</f>
        <v>11.75</v>
      </c>
      <c r="T324" s="26">
        <f>0.78*D324/40</f>
        <v>0.97499999999999998</v>
      </c>
    </row>
    <row r="325" spans="1:20" s="6" customFormat="1" ht="11.25" customHeight="1">
      <c r="A325" s="81" t="s">
        <v>30</v>
      </c>
      <c r="B325" s="174" t="s">
        <v>44</v>
      </c>
      <c r="C325" s="174"/>
      <c r="D325" s="24">
        <v>100</v>
      </c>
      <c r="E325" s="23">
        <v>19.91</v>
      </c>
      <c r="F325" s="29">
        <v>0.9</v>
      </c>
      <c r="G325" s="30">
        <v>0.2</v>
      </c>
      <c r="H325" s="31">
        <v>8.1</v>
      </c>
      <c r="I325" s="29">
        <v>136.6</v>
      </c>
      <c r="J325" s="29">
        <v>0.04</v>
      </c>
      <c r="K325" s="29">
        <v>0.03</v>
      </c>
      <c r="L325" s="29">
        <v>60</v>
      </c>
      <c r="M325" s="29">
        <v>0</v>
      </c>
      <c r="N325" s="30">
        <v>0.2</v>
      </c>
      <c r="O325" s="29">
        <v>34</v>
      </c>
      <c r="P325" s="29">
        <v>23</v>
      </c>
      <c r="Q325" s="57">
        <v>0.2</v>
      </c>
      <c r="R325" s="29">
        <v>0</v>
      </c>
      <c r="S325" s="29">
        <v>15</v>
      </c>
      <c r="T325" s="29">
        <v>0.3</v>
      </c>
    </row>
    <row r="326" spans="1:20" s="6" customFormat="1" ht="11.25" customHeight="1">
      <c r="A326" s="62" t="s">
        <v>45</v>
      </c>
      <c r="B326" s="63"/>
      <c r="C326" s="63"/>
      <c r="D326" s="39">
        <f>SUM(D319:D325)</f>
        <v>920</v>
      </c>
      <c r="E326" s="40">
        <f>SUM(E319:E325)</f>
        <v>89.999999999999986</v>
      </c>
      <c r="F326" s="41">
        <f t="shared" ref="F326:T326" si="74">SUM(F319:F324)</f>
        <v>32.735999999999997</v>
      </c>
      <c r="G326" s="42">
        <f t="shared" si="74"/>
        <v>22.747999999999998</v>
      </c>
      <c r="H326" s="42">
        <f t="shared" si="74"/>
        <v>110.65200000000002</v>
      </c>
      <c r="I326" s="42">
        <f t="shared" si="74"/>
        <v>905.23400000000004</v>
      </c>
      <c r="J326" s="42">
        <f t="shared" si="74"/>
        <v>0.504</v>
      </c>
      <c r="K326" s="41">
        <f t="shared" si="74"/>
        <v>0.39333333333333331</v>
      </c>
      <c r="L326" s="42">
        <f t="shared" si="74"/>
        <v>18.054000000000002</v>
      </c>
      <c r="M326" s="42">
        <f t="shared" si="74"/>
        <v>1.0808</v>
      </c>
      <c r="N326" s="91">
        <f t="shared" si="74"/>
        <v>7.9481999999999999</v>
      </c>
      <c r="O326" s="42">
        <f t="shared" si="74"/>
        <v>109.47799999999999</v>
      </c>
      <c r="P326" s="42">
        <f t="shared" si="74"/>
        <v>462.44</v>
      </c>
      <c r="Q326" s="42">
        <f t="shared" si="74"/>
        <v>3.964</v>
      </c>
      <c r="R326" s="43">
        <f t="shared" si="74"/>
        <v>3.8916666666666669E-2</v>
      </c>
      <c r="S326" s="42">
        <f t="shared" si="74"/>
        <v>179.84199999999998</v>
      </c>
      <c r="T326" s="41">
        <f t="shared" si="74"/>
        <v>8.5869999999999997</v>
      </c>
    </row>
    <row r="327" spans="1:20" s="6" customFormat="1" ht="11.25" customHeight="1">
      <c r="A327" s="181" t="s">
        <v>35</v>
      </c>
      <c r="B327" s="181"/>
      <c r="C327" s="181"/>
      <c r="D327" s="181"/>
      <c r="E327" s="44"/>
      <c r="F327" s="66">
        <f t="shared" ref="F327:T327" si="75">F326/F334</f>
        <v>0.3637333333333333</v>
      </c>
      <c r="G327" s="67">
        <f t="shared" si="75"/>
        <v>0.24726086956521737</v>
      </c>
      <c r="H327" s="67">
        <f t="shared" si="75"/>
        <v>0.28890861618798958</v>
      </c>
      <c r="I327" s="67">
        <f t="shared" si="75"/>
        <v>0.33280661764705882</v>
      </c>
      <c r="J327" s="67">
        <f t="shared" si="75"/>
        <v>0.36000000000000004</v>
      </c>
      <c r="K327" s="67">
        <f t="shared" si="75"/>
        <v>0.24583333333333332</v>
      </c>
      <c r="L327" s="67">
        <f t="shared" si="75"/>
        <v>0.25791428571428576</v>
      </c>
      <c r="M327" s="67">
        <f t="shared" si="75"/>
        <v>1.2008888888888889</v>
      </c>
      <c r="N327" s="67">
        <f t="shared" si="75"/>
        <v>0.66234999999999999</v>
      </c>
      <c r="O327" s="67">
        <f t="shared" si="75"/>
        <v>9.1231666666666655E-2</v>
      </c>
      <c r="P327" s="67">
        <f t="shared" si="75"/>
        <v>0.38536666666666669</v>
      </c>
      <c r="Q327" s="67">
        <f t="shared" si="75"/>
        <v>0.28314285714285714</v>
      </c>
      <c r="R327" s="67">
        <f t="shared" si="75"/>
        <v>0.38916666666666666</v>
      </c>
      <c r="S327" s="67">
        <f t="shared" si="75"/>
        <v>0.5994733333333333</v>
      </c>
      <c r="T327" s="67">
        <f t="shared" si="75"/>
        <v>0.47705555555555557</v>
      </c>
    </row>
    <row r="328" spans="1:20" s="6" customFormat="1" ht="11.25" customHeight="1">
      <c r="A328" s="176" t="s">
        <v>46</v>
      </c>
      <c r="B328" s="176"/>
      <c r="C328" s="176"/>
      <c r="D328" s="176"/>
      <c r="E328" s="176"/>
      <c r="F328" s="176"/>
      <c r="G328" s="176"/>
      <c r="H328" s="176"/>
      <c r="I328" s="176"/>
      <c r="J328" s="176"/>
      <c r="K328" s="176"/>
      <c r="L328" s="176"/>
      <c r="M328" s="176"/>
      <c r="N328" s="176"/>
      <c r="O328" s="176"/>
      <c r="P328" s="176"/>
      <c r="Q328" s="176"/>
      <c r="R328" s="176"/>
      <c r="S328" s="176"/>
      <c r="T328" s="176"/>
    </row>
    <row r="329" spans="1:20" s="6" customFormat="1" ht="11.25" customHeight="1">
      <c r="A329" s="20"/>
      <c r="B329" s="167" t="s">
        <v>117</v>
      </c>
      <c r="C329" s="167"/>
      <c r="D329" s="26" t="s">
        <v>97</v>
      </c>
      <c r="E329" s="23">
        <v>26.7</v>
      </c>
      <c r="F329" s="23">
        <v>0.4</v>
      </c>
      <c r="G329" s="23">
        <v>0.4</v>
      </c>
      <c r="H329" s="23">
        <v>9.8000000000000007</v>
      </c>
      <c r="I329" s="23">
        <f>F329*4+G329*9+H329*4</f>
        <v>44.400000000000006</v>
      </c>
      <c r="J329" s="23">
        <v>0.04</v>
      </c>
      <c r="K329" s="23">
        <v>0.02</v>
      </c>
      <c r="L329" s="24">
        <v>10</v>
      </c>
      <c r="M329" s="24">
        <v>0.02</v>
      </c>
      <c r="N329" s="23">
        <v>0.2</v>
      </c>
      <c r="O329" s="23">
        <v>16</v>
      </c>
      <c r="P329" s="23">
        <v>11</v>
      </c>
      <c r="Q329" s="24">
        <v>0.03</v>
      </c>
      <c r="R329" s="24">
        <v>2E-3</v>
      </c>
      <c r="S329" s="23">
        <v>9</v>
      </c>
      <c r="T329" s="23">
        <v>2.2000000000000002</v>
      </c>
    </row>
    <row r="330" spans="1:20" s="6" customFormat="1" ht="11.25" customHeight="1">
      <c r="A330" s="34">
        <v>377</v>
      </c>
      <c r="B330" s="166" t="s">
        <v>48</v>
      </c>
      <c r="C330" s="166"/>
      <c r="D330" s="58">
        <v>200</v>
      </c>
      <c r="E330" s="29">
        <v>3.3</v>
      </c>
      <c r="F330" s="132">
        <v>0.26</v>
      </c>
      <c r="G330" s="132">
        <v>0.06</v>
      </c>
      <c r="H330" s="132">
        <v>15.22</v>
      </c>
      <c r="I330" s="132">
        <v>62.46</v>
      </c>
      <c r="J330" s="132">
        <v>0</v>
      </c>
      <c r="K330" s="132">
        <v>0.01</v>
      </c>
      <c r="L330" s="132">
        <v>2.9</v>
      </c>
      <c r="M330" s="133">
        <v>0</v>
      </c>
      <c r="N330" s="132">
        <v>0.06</v>
      </c>
      <c r="O330" s="132">
        <v>6</v>
      </c>
      <c r="P330" s="132">
        <v>0</v>
      </c>
      <c r="Q330" s="132">
        <v>1.7000000000000001E-2</v>
      </c>
      <c r="R330" s="136">
        <v>0</v>
      </c>
      <c r="S330" s="132">
        <v>0</v>
      </c>
      <c r="T330" s="132">
        <v>0.4</v>
      </c>
    </row>
    <row r="331" spans="1:20" s="9" customFormat="1" ht="11.25" customHeight="1">
      <c r="A331" s="62" t="s">
        <v>49</v>
      </c>
      <c r="B331" s="63"/>
      <c r="C331" s="63"/>
      <c r="D331" s="39">
        <v>340</v>
      </c>
      <c r="E331" s="40">
        <f t="shared" ref="E331:T331" si="76">SUM(E329:E330)</f>
        <v>30</v>
      </c>
      <c r="F331" s="41">
        <f t="shared" si="76"/>
        <v>0.66</v>
      </c>
      <c r="G331" s="42">
        <f t="shared" si="76"/>
        <v>0.46</v>
      </c>
      <c r="H331" s="42">
        <f t="shared" si="76"/>
        <v>25.020000000000003</v>
      </c>
      <c r="I331" s="42">
        <f t="shared" si="76"/>
        <v>106.86000000000001</v>
      </c>
      <c r="J331" s="42">
        <f t="shared" si="76"/>
        <v>0.04</v>
      </c>
      <c r="K331" s="42">
        <f t="shared" si="76"/>
        <v>0.03</v>
      </c>
      <c r="L331" s="42">
        <f t="shared" si="76"/>
        <v>12.9</v>
      </c>
      <c r="M331" s="41">
        <f t="shared" si="76"/>
        <v>0.02</v>
      </c>
      <c r="N331" s="41">
        <f t="shared" si="76"/>
        <v>0.26</v>
      </c>
      <c r="O331" s="42">
        <f t="shared" si="76"/>
        <v>22</v>
      </c>
      <c r="P331" s="42">
        <f t="shared" si="76"/>
        <v>11</v>
      </c>
      <c r="Q331" s="42">
        <f t="shared" si="76"/>
        <v>4.7E-2</v>
      </c>
      <c r="R331" s="43">
        <f t="shared" si="76"/>
        <v>2E-3</v>
      </c>
      <c r="S331" s="42">
        <f t="shared" si="76"/>
        <v>9</v>
      </c>
      <c r="T331" s="41">
        <f t="shared" si="76"/>
        <v>2.6</v>
      </c>
    </row>
    <row r="332" spans="1:20" s="9" customFormat="1" ht="11.25" customHeight="1">
      <c r="A332" s="181" t="s">
        <v>35</v>
      </c>
      <c r="B332" s="181"/>
      <c r="C332" s="181"/>
      <c r="D332" s="181"/>
      <c r="E332" s="44"/>
      <c r="F332" s="66">
        <f t="shared" ref="F332:T332" si="77">F331/F334</f>
        <v>7.3333333333333341E-3</v>
      </c>
      <c r="G332" s="67">
        <f t="shared" si="77"/>
        <v>5.0000000000000001E-3</v>
      </c>
      <c r="H332" s="67">
        <f t="shared" si="77"/>
        <v>6.5326370757180161E-2</v>
      </c>
      <c r="I332" s="67">
        <f t="shared" si="77"/>
        <v>3.9286764705882361E-2</v>
      </c>
      <c r="J332" s="67">
        <f t="shared" si="77"/>
        <v>2.8571428571428574E-2</v>
      </c>
      <c r="K332" s="67">
        <f t="shared" si="77"/>
        <v>1.8749999999999999E-2</v>
      </c>
      <c r="L332" s="67">
        <f t="shared" si="77"/>
        <v>0.1842857142857143</v>
      </c>
      <c r="M332" s="67">
        <f t="shared" si="77"/>
        <v>2.2222222222222223E-2</v>
      </c>
      <c r="N332" s="67">
        <f t="shared" si="77"/>
        <v>2.1666666666666667E-2</v>
      </c>
      <c r="O332" s="67">
        <f t="shared" si="77"/>
        <v>1.8333333333333333E-2</v>
      </c>
      <c r="P332" s="67">
        <f t="shared" si="77"/>
        <v>9.1666666666666667E-3</v>
      </c>
      <c r="Q332" s="67">
        <f t="shared" si="77"/>
        <v>3.3571428571428572E-3</v>
      </c>
      <c r="R332" s="67">
        <f t="shared" si="77"/>
        <v>0.02</v>
      </c>
      <c r="S332" s="67">
        <f t="shared" si="77"/>
        <v>0.03</v>
      </c>
      <c r="T332" s="67">
        <f t="shared" si="77"/>
        <v>0.14444444444444446</v>
      </c>
    </row>
    <row r="333" spans="1:20" s="9" customFormat="1" ht="11.25" customHeight="1">
      <c r="A333" s="171" t="s">
        <v>50</v>
      </c>
      <c r="B333" s="171"/>
      <c r="C333" s="171"/>
      <c r="D333" s="171"/>
      <c r="E333" s="44"/>
      <c r="F333" s="41">
        <f t="shared" ref="F333:T333" si="78">SUM(F316,F326,F331)</f>
        <v>42.245999999999995</v>
      </c>
      <c r="G333" s="42">
        <f t="shared" si="78"/>
        <v>33.957999999999998</v>
      </c>
      <c r="H333" s="42">
        <f t="shared" si="78"/>
        <v>187.79200000000003</v>
      </c>
      <c r="I333" s="42">
        <f t="shared" si="78"/>
        <v>1451.5440000000003</v>
      </c>
      <c r="J333" s="41">
        <f t="shared" si="78"/>
        <v>0.80400000000000005</v>
      </c>
      <c r="K333" s="41">
        <f t="shared" si="78"/>
        <v>0.67333333333333334</v>
      </c>
      <c r="L333" s="42">
        <f t="shared" si="78"/>
        <v>95.164000000000001</v>
      </c>
      <c r="M333" s="41">
        <f t="shared" si="78"/>
        <v>1.1858</v>
      </c>
      <c r="N333" s="41">
        <f t="shared" si="78"/>
        <v>8.4781999999999993</v>
      </c>
      <c r="O333" s="42">
        <f t="shared" si="78"/>
        <v>333.70800000000003</v>
      </c>
      <c r="P333" s="42">
        <f t="shared" si="78"/>
        <v>738.59999999999991</v>
      </c>
      <c r="Q333" s="41">
        <f t="shared" si="78"/>
        <v>4.3079999999999998</v>
      </c>
      <c r="R333" s="43">
        <f t="shared" si="78"/>
        <v>4.5916666666666668E-2</v>
      </c>
      <c r="S333" s="41">
        <f t="shared" si="78"/>
        <v>275.47199999999998</v>
      </c>
      <c r="T333" s="41">
        <f t="shared" si="78"/>
        <v>13.917</v>
      </c>
    </row>
    <row r="334" spans="1:20" s="9" customFormat="1" ht="11.25" customHeight="1">
      <c r="A334" s="171" t="s">
        <v>51</v>
      </c>
      <c r="B334" s="171"/>
      <c r="C334" s="171"/>
      <c r="D334" s="171"/>
      <c r="E334" s="44"/>
      <c r="F334" s="23">
        <v>90</v>
      </c>
      <c r="G334" s="61">
        <v>92</v>
      </c>
      <c r="H334" s="61">
        <v>383</v>
      </c>
      <c r="I334" s="61">
        <v>2720</v>
      </c>
      <c r="J334" s="23">
        <v>1.4</v>
      </c>
      <c r="K334" s="23">
        <v>1.6</v>
      </c>
      <c r="L334" s="24">
        <v>70</v>
      </c>
      <c r="M334" s="23">
        <v>0.9</v>
      </c>
      <c r="N334" s="24">
        <v>12</v>
      </c>
      <c r="O334" s="24">
        <v>1200</v>
      </c>
      <c r="P334" s="24">
        <v>1200</v>
      </c>
      <c r="Q334" s="24">
        <v>14</v>
      </c>
      <c r="R334" s="61">
        <v>0.1</v>
      </c>
      <c r="S334" s="24">
        <v>300</v>
      </c>
      <c r="T334" s="23">
        <v>18</v>
      </c>
    </row>
    <row r="335" spans="1:20" s="9" customFormat="1" ht="11.25" customHeight="1">
      <c r="A335" s="181" t="s">
        <v>35</v>
      </c>
      <c r="B335" s="181"/>
      <c r="C335" s="181"/>
      <c r="D335" s="181"/>
      <c r="E335" s="44"/>
      <c r="F335" s="66">
        <f t="shared" ref="F335:T335" si="79">F333/F334</f>
        <v>0.46939999999999993</v>
      </c>
      <c r="G335" s="67">
        <f t="shared" si="79"/>
        <v>0.36910869565217391</v>
      </c>
      <c r="H335" s="67">
        <f t="shared" si="79"/>
        <v>0.49031853785900792</v>
      </c>
      <c r="I335" s="67">
        <f t="shared" si="79"/>
        <v>0.53365588235294126</v>
      </c>
      <c r="J335" s="67">
        <f t="shared" si="79"/>
        <v>0.5742857142857144</v>
      </c>
      <c r="K335" s="67">
        <f t="shared" si="79"/>
        <v>0.42083333333333334</v>
      </c>
      <c r="L335" s="67">
        <f t="shared" si="79"/>
        <v>1.3594857142857144</v>
      </c>
      <c r="M335" s="68">
        <f t="shared" si="79"/>
        <v>1.3175555555555556</v>
      </c>
      <c r="N335" s="67">
        <f t="shared" si="79"/>
        <v>0.70651666666666657</v>
      </c>
      <c r="O335" s="67">
        <f t="shared" si="79"/>
        <v>0.27809</v>
      </c>
      <c r="P335" s="67">
        <f t="shared" si="79"/>
        <v>0.61549999999999994</v>
      </c>
      <c r="Q335" s="67">
        <f t="shared" si="79"/>
        <v>0.30771428571428572</v>
      </c>
      <c r="R335" s="68">
        <f t="shared" si="79"/>
        <v>0.45916666666666667</v>
      </c>
      <c r="S335" s="67">
        <f t="shared" si="79"/>
        <v>0.91823999999999995</v>
      </c>
      <c r="T335" s="68">
        <f t="shared" si="79"/>
        <v>0.77316666666666667</v>
      </c>
    </row>
    <row r="336" spans="1:20" s="9" customFormat="1" ht="11.25" customHeight="1">
      <c r="A336" s="5" t="s">
        <v>67</v>
      </c>
      <c r="B336" s="5"/>
      <c r="C336" s="69"/>
      <c r="D336" s="69"/>
      <c r="E336" s="70"/>
      <c r="F336" s="11"/>
      <c r="G336" s="6"/>
      <c r="H336" s="8"/>
      <c r="I336" s="8"/>
      <c r="J336" s="6"/>
      <c r="K336" s="6"/>
      <c r="L336" s="6"/>
      <c r="M336" s="160" t="s">
        <v>0</v>
      </c>
      <c r="N336" s="160"/>
      <c r="O336" s="160"/>
      <c r="P336" s="160"/>
      <c r="Q336" s="160"/>
      <c r="R336" s="160"/>
      <c r="S336" s="160"/>
      <c r="T336" s="160"/>
    </row>
    <row r="337" spans="1:20" s="9" customFormat="1" ht="11.25" customHeight="1">
      <c r="A337" s="5"/>
      <c r="B337" s="5"/>
      <c r="C337" s="69"/>
      <c r="D337" s="69"/>
      <c r="E337" s="70"/>
      <c r="F337" s="11"/>
      <c r="G337" s="6"/>
      <c r="H337" s="8"/>
      <c r="I337" s="8"/>
      <c r="J337" s="6"/>
      <c r="K337" s="6"/>
      <c r="L337" s="6"/>
      <c r="M337" s="85"/>
      <c r="N337" s="85"/>
      <c r="O337" s="85"/>
      <c r="P337" s="85"/>
      <c r="Q337" s="85"/>
      <c r="R337" s="85"/>
      <c r="S337" s="85"/>
      <c r="T337" s="85"/>
    </row>
    <row r="338" spans="1:20" ht="11.25" customHeight="1">
      <c r="A338" s="5"/>
      <c r="B338" s="5"/>
      <c r="C338" s="5"/>
      <c r="D338" s="6"/>
      <c r="E338" s="7"/>
      <c r="F338" s="7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29.25" customHeight="1">
      <c r="A339" s="206" t="s">
        <v>118</v>
      </c>
      <c r="B339" s="206"/>
      <c r="C339" s="206"/>
      <c r="D339" s="206"/>
      <c r="E339" s="206"/>
      <c r="F339" s="206"/>
      <c r="G339" s="206"/>
      <c r="H339" s="206"/>
      <c r="I339" s="206"/>
      <c r="J339" s="206"/>
      <c r="K339" s="206"/>
      <c r="L339" s="206"/>
      <c r="M339" s="206"/>
      <c r="N339" s="206"/>
      <c r="O339" s="206"/>
      <c r="P339" s="206"/>
      <c r="Q339" s="206"/>
      <c r="R339" s="206"/>
      <c r="S339" s="206"/>
      <c r="T339" s="206"/>
    </row>
    <row r="340" spans="1:20" ht="29.25" customHeight="1">
      <c r="A340" s="122"/>
      <c r="B340" s="122"/>
      <c r="C340" s="122"/>
      <c r="D340" s="123"/>
      <c r="E340" s="124"/>
      <c r="F340" s="124"/>
      <c r="G340" s="123"/>
      <c r="H340" s="125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123"/>
    </row>
    <row r="341" spans="1:20" s="128" customFormat="1" ht="13.5" customHeight="1">
      <c r="A341" s="126"/>
      <c r="B341" s="126"/>
      <c r="C341" s="126"/>
      <c r="D341" s="126"/>
      <c r="E341" s="127"/>
      <c r="F341" s="127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</row>
  </sheetData>
  <sheetProtection selectLockedCells="1" selectUnlockedCells="1"/>
  <mergeCells count="388">
    <mergeCell ref="A51:C51"/>
    <mergeCell ref="B50:C50"/>
    <mergeCell ref="B112:C112"/>
    <mergeCell ref="A170:D170"/>
    <mergeCell ref="A169:D169"/>
    <mergeCell ref="B156:C156"/>
    <mergeCell ref="B157:C157"/>
    <mergeCell ref="D174:F174"/>
    <mergeCell ref="B158:C158"/>
    <mergeCell ref="M336:T336"/>
    <mergeCell ref="A339:T339"/>
    <mergeCell ref="B329:C329"/>
    <mergeCell ref="B330:C330"/>
    <mergeCell ref="A332:D332"/>
    <mergeCell ref="A333:D333"/>
    <mergeCell ref="A334:D334"/>
    <mergeCell ref="A335:D335"/>
    <mergeCell ref="B181:C181"/>
    <mergeCell ref="B323:C323"/>
    <mergeCell ref="B324:C324"/>
    <mergeCell ref="B325:C325"/>
    <mergeCell ref="A327:D327"/>
    <mergeCell ref="A328:T328"/>
    <mergeCell ref="A317:D317"/>
    <mergeCell ref="A318:T318"/>
    <mergeCell ref="B319:C319"/>
    <mergeCell ref="B320:C320"/>
    <mergeCell ref="B322:C322"/>
    <mergeCell ref="B321:C321"/>
    <mergeCell ref="B309:C309"/>
    <mergeCell ref="A310:T310"/>
    <mergeCell ref="B311:C311"/>
    <mergeCell ref="B312:C312"/>
    <mergeCell ref="B313:C313"/>
    <mergeCell ref="B314:C314"/>
    <mergeCell ref="B315:C315"/>
    <mergeCell ref="A307:A308"/>
    <mergeCell ref="N306:T306"/>
    <mergeCell ref="A299:D299"/>
    <mergeCell ref="A300:D300"/>
    <mergeCell ref="A301:D301"/>
    <mergeCell ref="A302:D302"/>
    <mergeCell ref="M303:T303"/>
    <mergeCell ref="A304:T304"/>
    <mergeCell ref="B307:C308"/>
    <mergeCell ref="D307:D308"/>
    <mergeCell ref="F307:H307"/>
    <mergeCell ref="I307:I308"/>
    <mergeCell ref="J307:N307"/>
    <mergeCell ref="G305:I305"/>
    <mergeCell ref="L305:M305"/>
    <mergeCell ref="N305:Q305"/>
    <mergeCell ref="D306:F306"/>
    <mergeCell ref="L306:M306"/>
    <mergeCell ref="O307:T307"/>
    <mergeCell ref="B287:C287"/>
    <mergeCell ref="B288:C288"/>
    <mergeCell ref="B289:C289"/>
    <mergeCell ref="B290:C290"/>
    <mergeCell ref="B291:C291"/>
    <mergeCell ref="A293:D293"/>
    <mergeCell ref="A294:T294"/>
    <mergeCell ref="B295:C295"/>
    <mergeCell ref="B296:C296"/>
    <mergeCell ref="B281:C281"/>
    <mergeCell ref="A283:D283"/>
    <mergeCell ref="B275:C275"/>
    <mergeCell ref="A276:T276"/>
    <mergeCell ref="B277:C277"/>
    <mergeCell ref="B278:C278"/>
    <mergeCell ref="A284:T284"/>
    <mergeCell ref="B285:C285"/>
    <mergeCell ref="B286:C286"/>
    <mergeCell ref="O273:T273"/>
    <mergeCell ref="A273:A274"/>
    <mergeCell ref="B273:C274"/>
    <mergeCell ref="D273:D274"/>
    <mergeCell ref="F273:H273"/>
    <mergeCell ref="I273:I274"/>
    <mergeCell ref="J273:N273"/>
    <mergeCell ref="B279:C279"/>
    <mergeCell ref="B280:C280"/>
    <mergeCell ref="A267:D267"/>
    <mergeCell ref="M268:T268"/>
    <mergeCell ref="A270:T270"/>
    <mergeCell ref="D272:F272"/>
    <mergeCell ref="L272:M272"/>
    <mergeCell ref="N272:T272"/>
    <mergeCell ref="G271:I271"/>
    <mergeCell ref="L271:M271"/>
    <mergeCell ref="N271:Q271"/>
    <mergeCell ref="B242:C242"/>
    <mergeCell ref="A243:T243"/>
    <mergeCell ref="B244:C244"/>
    <mergeCell ref="B246:C246"/>
    <mergeCell ref="B247:C247"/>
    <mergeCell ref="A249:D249"/>
    <mergeCell ref="A264:D264"/>
    <mergeCell ref="A265:D265"/>
    <mergeCell ref="A266:D266"/>
    <mergeCell ref="A250:T250"/>
    <mergeCell ref="B251:C251"/>
    <mergeCell ref="B252:C252"/>
    <mergeCell ref="B253:C253"/>
    <mergeCell ref="B254:C254"/>
    <mergeCell ref="B255:C255"/>
    <mergeCell ref="B256:C256"/>
    <mergeCell ref="B257:C257"/>
    <mergeCell ref="A259:D259"/>
    <mergeCell ref="A260:T260"/>
    <mergeCell ref="B261:C261"/>
    <mergeCell ref="B262:C262"/>
    <mergeCell ref="D239:F239"/>
    <mergeCell ref="L239:M239"/>
    <mergeCell ref="N239:T239"/>
    <mergeCell ref="A240:A241"/>
    <mergeCell ref="B240:C241"/>
    <mergeCell ref="D240:D241"/>
    <mergeCell ref="F240:H240"/>
    <mergeCell ref="I240:I241"/>
    <mergeCell ref="J240:N240"/>
    <mergeCell ref="O240:T240"/>
    <mergeCell ref="B230:C230"/>
    <mergeCell ref="A232:D232"/>
    <mergeCell ref="A233:D233"/>
    <mergeCell ref="A234:D234"/>
    <mergeCell ref="A235:D235"/>
    <mergeCell ref="M236:T236"/>
    <mergeCell ref="A237:T237"/>
    <mergeCell ref="G238:I238"/>
    <mergeCell ref="L238:M238"/>
    <mergeCell ref="N238:Q238"/>
    <mergeCell ref="B220:C220"/>
    <mergeCell ref="B221:C221"/>
    <mergeCell ref="B222:C222"/>
    <mergeCell ref="B223:C223"/>
    <mergeCell ref="B224:C224"/>
    <mergeCell ref="B225:C225"/>
    <mergeCell ref="A227:D227"/>
    <mergeCell ref="A228:T228"/>
    <mergeCell ref="B229:C229"/>
    <mergeCell ref="A218:T218"/>
    <mergeCell ref="B219:C219"/>
    <mergeCell ref="B214:C214"/>
    <mergeCell ref="O207:T207"/>
    <mergeCell ref="B209:C209"/>
    <mergeCell ref="A210:T210"/>
    <mergeCell ref="A207:A208"/>
    <mergeCell ref="B207:C208"/>
    <mergeCell ref="F207:H207"/>
    <mergeCell ref="B211:C211"/>
    <mergeCell ref="B212:C212"/>
    <mergeCell ref="B213:C213"/>
    <mergeCell ref="I207:I208"/>
    <mergeCell ref="A217:D217"/>
    <mergeCell ref="J207:N207"/>
    <mergeCell ref="M203:T203"/>
    <mergeCell ref="A204:T204"/>
    <mergeCell ref="G205:I205"/>
    <mergeCell ref="L205:M205"/>
    <mergeCell ref="N205:Q205"/>
    <mergeCell ref="B190:C190"/>
    <mergeCell ref="B191:C191"/>
    <mergeCell ref="B192:C192"/>
    <mergeCell ref="A194:D194"/>
    <mergeCell ref="A195:T195"/>
    <mergeCell ref="D206:F206"/>
    <mergeCell ref="L206:M206"/>
    <mergeCell ref="N206:T206"/>
    <mergeCell ref="D207:D208"/>
    <mergeCell ref="B196:C196"/>
    <mergeCell ref="B197:C197"/>
    <mergeCell ref="A199:D199"/>
    <mergeCell ref="A200:D200"/>
    <mergeCell ref="A201:D201"/>
    <mergeCell ref="A202:D202"/>
    <mergeCell ref="B186:C186"/>
    <mergeCell ref="B187:C187"/>
    <mergeCell ref="B188:C188"/>
    <mergeCell ref="B177:C177"/>
    <mergeCell ref="A178:T178"/>
    <mergeCell ref="B182:C182"/>
    <mergeCell ref="B179:C179"/>
    <mergeCell ref="B180:C180"/>
    <mergeCell ref="B189:C189"/>
    <mergeCell ref="A175:A176"/>
    <mergeCell ref="B175:C176"/>
    <mergeCell ref="D175:D176"/>
    <mergeCell ref="F175:H175"/>
    <mergeCell ref="I175:I176"/>
    <mergeCell ref="J175:N175"/>
    <mergeCell ref="O175:T175"/>
    <mergeCell ref="A184:D184"/>
    <mergeCell ref="A185:T185"/>
    <mergeCell ref="G173:I173"/>
    <mergeCell ref="L173:M173"/>
    <mergeCell ref="N173:Q173"/>
    <mergeCell ref="A163:T163"/>
    <mergeCell ref="B164:C164"/>
    <mergeCell ref="B165:C165"/>
    <mergeCell ref="A167:D167"/>
    <mergeCell ref="A168:D168"/>
    <mergeCell ref="L174:M174"/>
    <mergeCell ref="N174:T174"/>
    <mergeCell ref="B159:C159"/>
    <mergeCell ref="B160:C160"/>
    <mergeCell ref="A162:D162"/>
    <mergeCell ref="A152:D152"/>
    <mergeCell ref="A153:T153"/>
    <mergeCell ref="B154:C154"/>
    <mergeCell ref="B155:C155"/>
    <mergeCell ref="M171:T171"/>
    <mergeCell ref="A172:T172"/>
    <mergeCell ref="O142:T142"/>
    <mergeCell ref="B144:C144"/>
    <mergeCell ref="A145:T145"/>
    <mergeCell ref="A142:A143"/>
    <mergeCell ref="B142:C143"/>
    <mergeCell ref="D142:D143"/>
    <mergeCell ref="F142:H142"/>
    <mergeCell ref="I142:I143"/>
    <mergeCell ref="J142:N142"/>
    <mergeCell ref="A134:D134"/>
    <mergeCell ref="A135:D135"/>
    <mergeCell ref="A136:D136"/>
    <mergeCell ref="M137:T137"/>
    <mergeCell ref="A139:T139"/>
    <mergeCell ref="G140:I140"/>
    <mergeCell ref="L140:M140"/>
    <mergeCell ref="N140:Q140"/>
    <mergeCell ref="D141:F141"/>
    <mergeCell ref="L141:M141"/>
    <mergeCell ref="N141:T141"/>
    <mergeCell ref="B123:C123"/>
    <mergeCell ref="B124:C124"/>
    <mergeCell ref="B125:C125"/>
    <mergeCell ref="B126:C126"/>
    <mergeCell ref="A128:D128"/>
    <mergeCell ref="A129:T129"/>
    <mergeCell ref="B130:C130"/>
    <mergeCell ref="B131:C131"/>
    <mergeCell ref="A133:D133"/>
    <mergeCell ref="A118:D118"/>
    <mergeCell ref="A119:T119"/>
    <mergeCell ref="B120:C120"/>
    <mergeCell ref="B121:C121"/>
    <mergeCell ref="B122:C122"/>
    <mergeCell ref="B110:C110"/>
    <mergeCell ref="A111:T111"/>
    <mergeCell ref="B113:C113"/>
    <mergeCell ref="B114:C114"/>
    <mergeCell ref="B115:C115"/>
    <mergeCell ref="B116:C116"/>
    <mergeCell ref="D107:F107"/>
    <mergeCell ref="L107:M107"/>
    <mergeCell ref="N107:T107"/>
    <mergeCell ref="A108:A109"/>
    <mergeCell ref="B108:C109"/>
    <mergeCell ref="D108:D109"/>
    <mergeCell ref="F108:H108"/>
    <mergeCell ref="I108:I109"/>
    <mergeCell ref="J108:N108"/>
    <mergeCell ref="A100:D100"/>
    <mergeCell ref="O108:T108"/>
    <mergeCell ref="A101:D101"/>
    <mergeCell ref="A102:D102"/>
    <mergeCell ref="A103:D103"/>
    <mergeCell ref="M104:T104"/>
    <mergeCell ref="A105:T105"/>
    <mergeCell ref="G106:I106"/>
    <mergeCell ref="L106:M106"/>
    <mergeCell ref="N106:Q106"/>
    <mergeCell ref="B89:C89"/>
    <mergeCell ref="B90:C90"/>
    <mergeCell ref="B91:C91"/>
    <mergeCell ref="B92:C92"/>
    <mergeCell ref="B93:C93"/>
    <mergeCell ref="A95:D95"/>
    <mergeCell ref="A96:T96"/>
    <mergeCell ref="B97:C97"/>
    <mergeCell ref="B98:C98"/>
    <mergeCell ref="B79:C79"/>
    <mergeCell ref="A80:T80"/>
    <mergeCell ref="B81:C81"/>
    <mergeCell ref="B83:C83"/>
    <mergeCell ref="B84:C84"/>
    <mergeCell ref="A86:D86"/>
    <mergeCell ref="B82:C82"/>
    <mergeCell ref="A87:T87"/>
    <mergeCell ref="B88:C88"/>
    <mergeCell ref="D76:F76"/>
    <mergeCell ref="L76:M76"/>
    <mergeCell ref="N76:T76"/>
    <mergeCell ref="A77:A78"/>
    <mergeCell ref="B77:C78"/>
    <mergeCell ref="D77:D78"/>
    <mergeCell ref="F77:H77"/>
    <mergeCell ref="I77:I78"/>
    <mergeCell ref="J77:N77"/>
    <mergeCell ref="O77:T77"/>
    <mergeCell ref="B65:C65"/>
    <mergeCell ref="B66:C66"/>
    <mergeCell ref="A68:D68"/>
    <mergeCell ref="A69:D69"/>
    <mergeCell ref="A70:D70"/>
    <mergeCell ref="A71:D71"/>
    <mergeCell ref="M72:T72"/>
    <mergeCell ref="A74:T74"/>
    <mergeCell ref="G75:I75"/>
    <mergeCell ref="L75:M75"/>
    <mergeCell ref="N75:Q75"/>
    <mergeCell ref="M38:T38"/>
    <mergeCell ref="N40:Q40"/>
    <mergeCell ref="A39:T39"/>
    <mergeCell ref="G40:I40"/>
    <mergeCell ref="L40:M40"/>
    <mergeCell ref="D41:F41"/>
    <mergeCell ref="L41:M41"/>
    <mergeCell ref="N41:T41"/>
    <mergeCell ref="B44:C44"/>
    <mergeCell ref="I42:I43"/>
    <mergeCell ref="J42:N42"/>
    <mergeCell ref="O42:T42"/>
    <mergeCell ref="A42:A43"/>
    <mergeCell ref="B42:C43"/>
    <mergeCell ref="D42:D43"/>
    <mergeCell ref="F42:H42"/>
    <mergeCell ref="B9:C9"/>
    <mergeCell ref="A10:T10"/>
    <mergeCell ref="A7:A8"/>
    <mergeCell ref="B7:C8"/>
    <mergeCell ref="B215:C215"/>
    <mergeCell ref="B58:C58"/>
    <mergeCell ref="B146:C146"/>
    <mergeCell ref="B148:C148"/>
    <mergeCell ref="B149:C149"/>
    <mergeCell ref="A34:D34"/>
    <mergeCell ref="A35:D35"/>
    <mergeCell ref="A36:D36"/>
    <mergeCell ref="B32:C32"/>
    <mergeCell ref="B21:C21"/>
    <mergeCell ref="B14:C14"/>
    <mergeCell ref="B15:C15"/>
    <mergeCell ref="B22:C22"/>
    <mergeCell ref="B23:C23"/>
    <mergeCell ref="A19:T19"/>
    <mergeCell ref="B24:C24"/>
    <mergeCell ref="B25:C25"/>
    <mergeCell ref="B26:C26"/>
    <mergeCell ref="A28:D28"/>
    <mergeCell ref="A30:T30"/>
    <mergeCell ref="B20:C20"/>
    <mergeCell ref="B11:C11"/>
    <mergeCell ref="B12:C12"/>
    <mergeCell ref="B13:C13"/>
    <mergeCell ref="A17:D17"/>
    <mergeCell ref="B147:C147"/>
    <mergeCell ref="B150:C150"/>
    <mergeCell ref="B59:C59"/>
    <mergeCell ref="B60:C60"/>
    <mergeCell ref="B61:C61"/>
    <mergeCell ref="B57:C57"/>
    <mergeCell ref="B31:C31"/>
    <mergeCell ref="A37:D37"/>
    <mergeCell ref="A45:T45"/>
    <mergeCell ref="B46:C46"/>
    <mergeCell ref="B47:C47"/>
    <mergeCell ref="B48:C48"/>
    <mergeCell ref="B49:C49"/>
    <mergeCell ref="A52:D52"/>
    <mergeCell ref="A54:T54"/>
    <mergeCell ref="B55:C55"/>
    <mergeCell ref="B56:C56"/>
    <mergeCell ref="A63:D63"/>
    <mergeCell ref="A64:T64"/>
    <mergeCell ref="M3:T3"/>
    <mergeCell ref="A4:T4"/>
    <mergeCell ref="G5:I5"/>
    <mergeCell ref="L5:M5"/>
    <mergeCell ref="N5:Q5"/>
    <mergeCell ref="D6:F6"/>
    <mergeCell ref="L6:M6"/>
    <mergeCell ref="N6:T6"/>
    <mergeCell ref="D7:D8"/>
    <mergeCell ref="F7:H7"/>
    <mergeCell ref="I7:I8"/>
    <mergeCell ref="J7:N7"/>
    <mergeCell ref="O7:T7"/>
  </mergeCells>
  <pageMargins left="0.7" right="0.7" top="0.75" bottom="0.75" header="0.51180555555555551" footer="0.51180555555555551"/>
  <pageSetup paperSize="9" scale="75" firstPageNumber="0" fitToHeight="0" orientation="landscape" r:id="rId1"/>
  <headerFooter alignWithMargins="0"/>
  <rowBreaks count="10" manualBreakCount="10">
    <brk id="37" max="16383" man="1"/>
    <brk id="71" max="16383" man="1"/>
    <brk id="103" max="16383" man="1"/>
    <brk id="136" max="16383" man="1"/>
    <brk id="170" max="16383" man="1"/>
    <brk id="202" max="16383" man="1"/>
    <brk id="235" max="16383" man="1"/>
    <brk id="267" max="16383" man="1"/>
    <brk id="302" max="16383" man="1"/>
    <brk id="3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User_5</cp:lastModifiedBy>
  <cp:lastPrinted>2022-08-23T09:08:42Z</cp:lastPrinted>
  <dcterms:created xsi:type="dcterms:W3CDTF">2022-08-22T08:00:45Z</dcterms:created>
  <dcterms:modified xsi:type="dcterms:W3CDTF">2022-08-31T13:01:15Z</dcterms:modified>
</cp:coreProperties>
</file>